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ce\Desktop\PGECPCI\Re-Bid Documents\Bid Bulletin\Lot 3\"/>
    </mc:Choice>
  </mc:AlternateContent>
  <workbookProtection workbookAlgorithmName="SHA-512" workbookHashValue="KYpCOVvuy+PBa2SArbK2w/OhYf1LuzrAQKyFGQeG0HmS9TtW7bWyZLDTlp/b6w+Wi+YfzkeN3NQB1iBFYE/ocQ==" workbookSaltValue="HdkIym1xAKpvJVOgcnyntQ==" workbookSpinCount="100000" lockStructure="1"/>
  <bookViews>
    <workbookView xWindow="0" yWindow="0" windowWidth="15120" windowHeight="7620"/>
  </bookViews>
  <sheets>
    <sheet name="INPUT" sheetId="5" r:id="rId1"/>
    <sheet name="table b_less3.2%ppd" sheetId="8" state="hidden" r:id="rId2"/>
    <sheet name="LCOE" sheetId="2" r:id="rId3"/>
    <sheet name="OUTPUT_B" sheetId="6" r:id="rId4"/>
    <sheet name="data" sheetId="7" state="hidden" r:id="rId5"/>
    <sheet name="OUTPUT_C" sheetId="13" r:id="rId6"/>
    <sheet name="Table_B" sheetId="10" r:id="rId7"/>
    <sheet name="Table_C" sheetId="11" r:id="rId8"/>
  </sheets>
  <definedNames>
    <definedName name="_xlnm.Print_Area" localSheetId="3">OUTPUT_B!$B$1:$T$56</definedName>
    <definedName name="_xlnm.Print_Area" localSheetId="6">Table_B!$A$1:$Q$41</definedName>
    <definedName name="_xlnm.Print_Area" localSheetId="7">Table_C!$A$1:$Q$41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1" l="1"/>
  <c r="F17" i="11"/>
  <c r="G17" i="11"/>
  <c r="H17" i="11"/>
  <c r="I17" i="11"/>
  <c r="J17" i="11"/>
  <c r="K17" i="11"/>
  <c r="L17" i="11"/>
  <c r="M17" i="11"/>
  <c r="N17" i="11"/>
  <c r="D15" i="11"/>
  <c r="D16" i="11"/>
  <c r="D14" i="11"/>
  <c r="D36" i="13"/>
  <c r="F25" i="8"/>
  <c r="D26" i="8"/>
  <c r="D27" i="8"/>
  <c r="D28" i="8"/>
  <c r="D29" i="8"/>
  <c r="D30" i="8"/>
  <c r="D31" i="8"/>
  <c r="D32" i="8"/>
  <c r="D33" i="8"/>
  <c r="D34" i="8"/>
  <c r="D35" i="8"/>
  <c r="D25" i="8"/>
  <c r="E26" i="8"/>
  <c r="E27" i="8"/>
  <c r="E28" i="8"/>
  <c r="E29" i="8"/>
  <c r="E30" i="8"/>
  <c r="E31" i="8"/>
  <c r="E32" i="8"/>
  <c r="E33" i="8"/>
  <c r="E34" i="8"/>
  <c r="E35" i="8"/>
  <c r="E25" i="8"/>
  <c r="AA35" i="8"/>
  <c r="AA34" i="8"/>
  <c r="AA33" i="8"/>
  <c r="AA32" i="8"/>
  <c r="AA31" i="8"/>
  <c r="AA30" i="8"/>
  <c r="AA29" i="8"/>
  <c r="AA28" i="8"/>
  <c r="AA27" i="8"/>
  <c r="AA26" i="8"/>
  <c r="F31" i="8" l="1"/>
  <c r="F33" i="8"/>
  <c r="F26" i="8"/>
  <c r="F34" i="8"/>
  <c r="F35" i="8"/>
  <c r="F30" i="8"/>
  <c r="F28" i="8"/>
  <c r="P36" i="13"/>
  <c r="F32" i="8"/>
  <c r="F27" i="8"/>
  <c r="F29" i="8"/>
  <c r="D17" i="11"/>
  <c r="E31" i="13"/>
  <c r="F31" i="13"/>
  <c r="G31" i="13"/>
  <c r="H31" i="13"/>
  <c r="I31" i="13"/>
  <c r="J31" i="13"/>
  <c r="K31" i="13"/>
  <c r="L31" i="13"/>
  <c r="M31" i="13"/>
  <c r="N31" i="13"/>
  <c r="D31" i="13"/>
  <c r="E47" i="13"/>
  <c r="E27" i="11" s="1"/>
  <c r="E46" i="13"/>
  <c r="E26" i="11" s="1"/>
  <c r="E45" i="13"/>
  <c r="E25" i="11" s="1"/>
  <c r="N39" i="13"/>
  <c r="N20" i="11" s="1"/>
  <c r="M39" i="13"/>
  <c r="M20" i="11" s="1"/>
  <c r="L39" i="13"/>
  <c r="L20" i="11" s="1"/>
  <c r="K39" i="13"/>
  <c r="K20" i="11" s="1"/>
  <c r="J39" i="13"/>
  <c r="J20" i="11" s="1"/>
  <c r="I39" i="13"/>
  <c r="I20" i="11" s="1"/>
  <c r="H39" i="13"/>
  <c r="H20" i="11" s="1"/>
  <c r="G39" i="13"/>
  <c r="G20" i="11" s="1"/>
  <c r="F39" i="13"/>
  <c r="F20" i="11" s="1"/>
  <c r="E39" i="13"/>
  <c r="E20" i="11" s="1"/>
  <c r="N38" i="13"/>
  <c r="N19" i="11" s="1"/>
  <c r="M38" i="13"/>
  <c r="M19" i="11" s="1"/>
  <c r="L38" i="13"/>
  <c r="L19" i="11" s="1"/>
  <c r="K38" i="13"/>
  <c r="K19" i="11" s="1"/>
  <c r="J38" i="13"/>
  <c r="J19" i="11" s="1"/>
  <c r="I38" i="13"/>
  <c r="I19" i="11" s="1"/>
  <c r="H38" i="13"/>
  <c r="H19" i="11" s="1"/>
  <c r="G38" i="13"/>
  <c r="G19" i="11" s="1"/>
  <c r="F38" i="13"/>
  <c r="F19" i="11" s="1"/>
  <c r="E38" i="13"/>
  <c r="E19" i="11" s="1"/>
  <c r="N37" i="13"/>
  <c r="N18" i="11" s="1"/>
  <c r="M37" i="13"/>
  <c r="M18" i="11" s="1"/>
  <c r="L37" i="13"/>
  <c r="L18" i="11" s="1"/>
  <c r="K37" i="13"/>
  <c r="K18" i="11" s="1"/>
  <c r="J37" i="13"/>
  <c r="J18" i="11" s="1"/>
  <c r="I37" i="13"/>
  <c r="I18" i="11" s="1"/>
  <c r="H37" i="13"/>
  <c r="H18" i="11" s="1"/>
  <c r="G37" i="13"/>
  <c r="G18" i="11" s="1"/>
  <c r="F37" i="13"/>
  <c r="F18" i="11" s="1"/>
  <c r="E37" i="13"/>
  <c r="E18" i="11" s="1"/>
  <c r="D19" i="13"/>
  <c r="D18" i="13"/>
  <c r="D17" i="13"/>
  <c r="E42" i="6"/>
  <c r="E41" i="6"/>
  <c r="E40" i="6"/>
  <c r="E25" i="10" l="1"/>
  <c r="E27" i="10"/>
  <c r="E26" i="10"/>
  <c r="I8" i="8" l="1"/>
  <c r="O8" i="8" l="1"/>
  <c r="Y35" i="8"/>
  <c r="Y34" i="8"/>
  <c r="Y33" i="8"/>
  <c r="Y32" i="8"/>
  <c r="Y31" i="8"/>
  <c r="Y30" i="8"/>
  <c r="Y29" i="8"/>
  <c r="Y28" i="8"/>
  <c r="Y27" i="8"/>
  <c r="Y26" i="8"/>
  <c r="Y25" i="8"/>
  <c r="J25" i="8"/>
  <c r="G25" i="8"/>
  <c r="J22" i="8"/>
  <c r="I22" i="8"/>
  <c r="H22" i="8"/>
  <c r="AB12" i="2" l="1"/>
  <c r="E16" i="7" l="1"/>
  <c r="F5" i="7"/>
  <c r="N27" i="6"/>
  <c r="D18" i="8"/>
  <c r="Y18" i="8"/>
  <c r="F15" i="7"/>
  <c r="D18" i="2"/>
  <c r="V18" i="2"/>
  <c r="W18" i="8" s="1"/>
  <c r="W35" i="8" s="1"/>
  <c r="X18" i="2"/>
  <c r="K35" i="8" l="1"/>
  <c r="L35" i="8"/>
  <c r="M35" i="8"/>
  <c r="K18" i="8"/>
  <c r="O18" i="2"/>
  <c r="P18" i="2" s="1"/>
  <c r="O18" i="8"/>
  <c r="K18" i="2"/>
  <c r="E27" i="6"/>
  <c r="F27" i="6"/>
  <c r="G27" i="6"/>
  <c r="H27" i="6"/>
  <c r="I27" i="6"/>
  <c r="J27" i="6"/>
  <c r="K27" i="6"/>
  <c r="L27" i="6"/>
  <c r="M27" i="6"/>
  <c r="D27" i="6"/>
  <c r="X8" i="2"/>
  <c r="Y9" i="8"/>
  <c r="Y10" i="8"/>
  <c r="Y11" i="8"/>
  <c r="Y12" i="8"/>
  <c r="Y13" i="8"/>
  <c r="Y14" i="8"/>
  <c r="Y15" i="8"/>
  <c r="Y16" i="8"/>
  <c r="Y17" i="8"/>
  <c r="Y8" i="8"/>
  <c r="F7" i="7"/>
  <c r="F8" i="7"/>
  <c r="F9" i="7"/>
  <c r="F10" i="7"/>
  <c r="F11" i="7"/>
  <c r="F12" i="7"/>
  <c r="F13" i="7"/>
  <c r="F14" i="7"/>
  <c r="F6" i="7"/>
  <c r="S35" i="8" l="1"/>
  <c r="U35" i="8"/>
  <c r="Q35" i="8"/>
  <c r="P18" i="8"/>
  <c r="V9" i="2"/>
  <c r="W9" i="8" s="1"/>
  <c r="W26" i="8" s="1"/>
  <c r="V10" i="2"/>
  <c r="W10" i="8" s="1"/>
  <c r="W27" i="8" s="1"/>
  <c r="V11" i="2"/>
  <c r="W11" i="8" s="1"/>
  <c r="W28" i="8" s="1"/>
  <c r="V12" i="2"/>
  <c r="W12" i="8" s="1"/>
  <c r="W29" i="8" s="1"/>
  <c r="V13" i="2"/>
  <c r="W13" i="8" s="1"/>
  <c r="W30" i="8" s="1"/>
  <c r="V14" i="2"/>
  <c r="W14" i="8" s="1"/>
  <c r="W31" i="8" s="1"/>
  <c r="V15" i="2"/>
  <c r="W15" i="8" s="1"/>
  <c r="W32" i="8" s="1"/>
  <c r="V16" i="2"/>
  <c r="W16" i="8" s="1"/>
  <c r="W33" i="8" s="1"/>
  <c r="V17" i="2"/>
  <c r="W17" i="8" s="1"/>
  <c r="W34" i="8" s="1"/>
  <c r="V8" i="2"/>
  <c r="W8" i="8" s="1"/>
  <c r="W25" i="8" s="1"/>
  <c r="D18" i="6"/>
  <c r="D29" i="6" s="1"/>
  <c r="D15" i="10" s="1"/>
  <c r="D19" i="6"/>
  <c r="D30" i="6" s="1"/>
  <c r="D16" i="10" s="1"/>
  <c r="K31" i="8" l="1"/>
  <c r="L31" i="8"/>
  <c r="M31" i="8"/>
  <c r="M29" i="8"/>
  <c r="K29" i="8"/>
  <c r="L29" i="8"/>
  <c r="L26" i="8"/>
  <c r="M26" i="8"/>
  <c r="L25" i="8"/>
  <c r="M25" i="8"/>
  <c r="K25" i="8"/>
  <c r="N25" i="8"/>
  <c r="K34" i="8"/>
  <c r="L34" i="8"/>
  <c r="M34" i="8"/>
  <c r="T35" i="8"/>
  <c r="V35" i="8" s="1"/>
  <c r="Z35" i="8" s="1"/>
  <c r="M30" i="8"/>
  <c r="K30" i="8"/>
  <c r="L30" i="8"/>
  <c r="M28" i="8"/>
  <c r="K28" i="8"/>
  <c r="L28" i="8"/>
  <c r="K33" i="8"/>
  <c r="M33" i="8"/>
  <c r="L33" i="8"/>
  <c r="K27" i="8"/>
  <c r="M27" i="8"/>
  <c r="L27" i="8"/>
  <c r="K32" i="8"/>
  <c r="M32" i="8"/>
  <c r="L32" i="8"/>
  <c r="S33" i="8" l="1"/>
  <c r="N21" i="13"/>
  <c r="S34" i="8"/>
  <c r="S31" i="8"/>
  <c r="S27" i="8"/>
  <c r="S28" i="8"/>
  <c r="S32" i="8"/>
  <c r="S29" i="8"/>
  <c r="S25" i="8"/>
  <c r="S30" i="8"/>
  <c r="U34" i="8"/>
  <c r="U33" i="8"/>
  <c r="U32" i="8"/>
  <c r="Q32" i="8"/>
  <c r="U30" i="8"/>
  <c r="Q30" i="8"/>
  <c r="Q33" i="8"/>
  <c r="Q34" i="8"/>
  <c r="Q27" i="8"/>
  <c r="U27" i="8"/>
  <c r="Q28" i="8"/>
  <c r="U25" i="8"/>
  <c r="Q25" i="8"/>
  <c r="U29" i="8"/>
  <c r="Q29" i="8"/>
  <c r="U28" i="8"/>
  <c r="U31" i="8"/>
  <c r="Q31" i="8"/>
  <c r="O10" i="2"/>
  <c r="P10" i="2" s="1"/>
  <c r="O10" i="8"/>
  <c r="O12" i="8"/>
  <c r="O12" i="2"/>
  <c r="P12" i="2" s="1"/>
  <c r="O14" i="2"/>
  <c r="P14" i="2" s="1"/>
  <c r="O14" i="8"/>
  <c r="O9" i="2"/>
  <c r="P9" i="2" s="1"/>
  <c r="O9" i="8"/>
  <c r="O15" i="8"/>
  <c r="O15" i="2"/>
  <c r="P15" i="2" s="1"/>
  <c r="O17" i="2"/>
  <c r="P17" i="2" s="1"/>
  <c r="O17" i="8"/>
  <c r="O11" i="8"/>
  <c r="O11" i="2"/>
  <c r="P11" i="2" s="1"/>
  <c r="O13" i="8"/>
  <c r="O13" i="2"/>
  <c r="P13" i="2" s="1"/>
  <c r="O16" i="8"/>
  <c r="O16" i="2"/>
  <c r="P16" i="2" s="1"/>
  <c r="D17" i="8"/>
  <c r="D16" i="8"/>
  <c r="D15" i="8"/>
  <c r="D14" i="8"/>
  <c r="D13" i="8"/>
  <c r="D12" i="8"/>
  <c r="D11" i="8"/>
  <c r="D10" i="8"/>
  <c r="D9" i="8"/>
  <c r="J8" i="8"/>
  <c r="H8" i="8"/>
  <c r="G8" i="8"/>
  <c r="F8" i="8"/>
  <c r="F9" i="8" s="1"/>
  <c r="E8" i="8"/>
  <c r="E9" i="8" s="1"/>
  <c r="D8" i="8"/>
  <c r="O8" i="2"/>
  <c r="P8" i="2" s="1"/>
  <c r="F13" i="5"/>
  <c r="F19" i="5" s="1"/>
  <c r="T32" i="8" l="1"/>
  <c r="V32" i="8" s="1"/>
  <c r="N23" i="13"/>
  <c r="N22" i="13"/>
  <c r="N24" i="13"/>
  <c r="T25" i="8"/>
  <c r="V25" i="8" s="1"/>
  <c r="Z25" i="8" s="1"/>
  <c r="D21" i="13" s="1"/>
  <c r="T29" i="8"/>
  <c r="V29" i="8" s="1"/>
  <c r="Z29" i="8" s="1"/>
  <c r="T30" i="8"/>
  <c r="V30" i="8" s="1"/>
  <c r="Z30" i="8" s="1"/>
  <c r="T27" i="8"/>
  <c r="V27" i="8" s="1"/>
  <c r="Z27" i="8" s="1"/>
  <c r="T34" i="8"/>
  <c r="V34" i="8" s="1"/>
  <c r="Z34" i="8" s="1"/>
  <c r="T33" i="8"/>
  <c r="V33" i="8" s="1"/>
  <c r="Z33" i="8" s="1"/>
  <c r="T28" i="8"/>
  <c r="V28" i="8" s="1"/>
  <c r="Z28" i="8" s="1"/>
  <c r="T31" i="8"/>
  <c r="V31" i="8" s="1"/>
  <c r="Z31" i="8" s="1"/>
  <c r="P15" i="8"/>
  <c r="P16" i="8"/>
  <c r="P13" i="8"/>
  <c r="P12" i="8"/>
  <c r="P10" i="8"/>
  <c r="P11" i="8"/>
  <c r="P14" i="8"/>
  <c r="P17" i="8"/>
  <c r="P9" i="8"/>
  <c r="K10" i="8"/>
  <c r="K12" i="8"/>
  <c r="K14" i="8"/>
  <c r="K16" i="8"/>
  <c r="K8" i="8"/>
  <c r="K9" i="8"/>
  <c r="K11" i="8"/>
  <c r="K13" i="8"/>
  <c r="K15" i="8"/>
  <c r="K17" i="8"/>
  <c r="G9" i="8"/>
  <c r="N8" i="8"/>
  <c r="F10" i="8"/>
  <c r="F11" i="8" s="1"/>
  <c r="E10" i="8"/>
  <c r="F15" i="5"/>
  <c r="P8" i="8"/>
  <c r="L8" i="8"/>
  <c r="M8" i="8"/>
  <c r="F31" i="5"/>
  <c r="S8" i="8" l="1"/>
  <c r="Z32" i="8"/>
  <c r="K21" i="13" s="1"/>
  <c r="J21" i="13"/>
  <c r="L21" i="13"/>
  <c r="F21" i="13"/>
  <c r="F22" i="13" s="1"/>
  <c r="G21" i="13"/>
  <c r="M21" i="13"/>
  <c r="H21" i="13"/>
  <c r="I21" i="13"/>
  <c r="I23" i="13" s="1"/>
  <c r="U8" i="8"/>
  <c r="Q8" i="8"/>
  <c r="G10" i="8"/>
  <c r="G11" i="8" s="1"/>
  <c r="F12" i="8"/>
  <c r="E11" i="8"/>
  <c r="E12" i="8" s="1"/>
  <c r="K23" i="13" l="1"/>
  <c r="K22" i="13"/>
  <c r="K24" i="13"/>
  <c r="M24" i="13"/>
  <c r="M22" i="13"/>
  <c r="M23" i="13"/>
  <c r="G23" i="13"/>
  <c r="G24" i="13"/>
  <c r="G22" i="13"/>
  <c r="L24" i="13"/>
  <c r="L22" i="13"/>
  <c r="L23" i="13"/>
  <c r="J24" i="13"/>
  <c r="J23" i="13"/>
  <c r="J22" i="13"/>
  <c r="H23" i="13"/>
  <c r="H24" i="13"/>
  <c r="H22" i="13"/>
  <c r="F23" i="13"/>
  <c r="F24" i="13"/>
  <c r="I24" i="13"/>
  <c r="I22" i="13"/>
  <c r="T8" i="8"/>
  <c r="V8" i="8" s="1"/>
  <c r="F13" i="8"/>
  <c r="E13" i="8"/>
  <c r="G12" i="8"/>
  <c r="D17" i="6"/>
  <c r="D28" i="6" s="1"/>
  <c r="D14" i="10" s="1"/>
  <c r="D22" i="13" l="1"/>
  <c r="D23" i="13"/>
  <c r="D24" i="13"/>
  <c r="F14" i="8"/>
  <c r="G13" i="8"/>
  <c r="E14" i="8"/>
  <c r="D58" i="5"/>
  <c r="E58" i="5"/>
  <c r="F15" i="8" l="1"/>
  <c r="G14" i="8"/>
  <c r="E15" i="8"/>
  <c r="F39" i="5"/>
  <c r="F16" i="8" l="1"/>
  <c r="F32" i="5"/>
  <c r="E16" i="8"/>
  <c r="G15" i="8"/>
  <c r="F17" i="8" l="1"/>
  <c r="F18" i="8" s="1"/>
  <c r="G16" i="8"/>
  <c r="E17" i="8"/>
  <c r="E18" i="8" s="1"/>
  <c r="X10" i="2"/>
  <c r="X11" i="2"/>
  <c r="X12" i="2"/>
  <c r="X13" i="2"/>
  <c r="X14" i="2"/>
  <c r="X15" i="2"/>
  <c r="X16" i="2"/>
  <c r="X17" i="2"/>
  <c r="X9" i="2"/>
  <c r="G17" i="8" l="1"/>
  <c r="G18" i="8" s="1"/>
  <c r="I8" i="2"/>
  <c r="I28" i="5"/>
  <c r="I5" i="8" s="1"/>
  <c r="I9" i="8" s="1"/>
  <c r="M9" i="8" s="1"/>
  <c r="I27" i="5"/>
  <c r="H5" i="8" s="1"/>
  <c r="H9" i="8" s="1"/>
  <c r="L9" i="8" s="1"/>
  <c r="F8" i="2"/>
  <c r="M8" i="2" l="1"/>
  <c r="H10" i="8"/>
  <c r="L10" i="8" s="1"/>
  <c r="I10" i="8"/>
  <c r="M10" i="8" s="1"/>
  <c r="G8" i="2"/>
  <c r="F9" i="2"/>
  <c r="E8" i="2"/>
  <c r="H8" i="2"/>
  <c r="D17" i="2"/>
  <c r="K17" i="2" s="1"/>
  <c r="D16" i="2"/>
  <c r="K16" i="2" s="1"/>
  <c r="D15" i="2"/>
  <c r="K15" i="2" s="1"/>
  <c r="D14" i="2"/>
  <c r="K14" i="2" s="1"/>
  <c r="D13" i="2"/>
  <c r="K13" i="2" s="1"/>
  <c r="D12" i="2"/>
  <c r="K12" i="2" s="1"/>
  <c r="D11" i="2"/>
  <c r="K11" i="2" s="1"/>
  <c r="D10" i="2"/>
  <c r="K10" i="2" s="1"/>
  <c r="D9" i="2"/>
  <c r="K9" i="2" s="1"/>
  <c r="D8" i="2"/>
  <c r="K8" i="2" s="1"/>
  <c r="F58" i="5"/>
  <c r="S55" i="5"/>
  <c r="J8" i="2"/>
  <c r="I5" i="2"/>
  <c r="I9" i="2" s="1"/>
  <c r="H5" i="2"/>
  <c r="H29" i="5"/>
  <c r="N8" i="2" l="1"/>
  <c r="L8" i="2"/>
  <c r="F10" i="2"/>
  <c r="M9" i="2"/>
  <c r="H11" i="8"/>
  <c r="L11" i="8" s="1"/>
  <c r="I11" i="8"/>
  <c r="M11" i="8" s="1"/>
  <c r="G9" i="2"/>
  <c r="E9" i="2"/>
  <c r="I29" i="5"/>
  <c r="I10" i="2"/>
  <c r="H9" i="2"/>
  <c r="F18" i="5"/>
  <c r="R8" i="2" l="1"/>
  <c r="Q8" i="2"/>
  <c r="F11" i="2"/>
  <c r="M10" i="2"/>
  <c r="E10" i="2"/>
  <c r="L9" i="2"/>
  <c r="H12" i="8"/>
  <c r="L12" i="8" s="1"/>
  <c r="I12" i="8"/>
  <c r="M12" i="8" s="1"/>
  <c r="J5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5" i="8"/>
  <c r="G10" i="2"/>
  <c r="T8" i="2"/>
  <c r="H10" i="2"/>
  <c r="I11" i="2"/>
  <c r="B9" i="5"/>
  <c r="E9" i="5"/>
  <c r="J9" i="8" l="1"/>
  <c r="N9" i="8" s="1"/>
  <c r="S9" i="8" s="1"/>
  <c r="J26" i="8"/>
  <c r="N9" i="2"/>
  <c r="R9" i="2" s="1"/>
  <c r="F12" i="2"/>
  <c r="M11" i="2"/>
  <c r="E11" i="2"/>
  <c r="L10" i="2"/>
  <c r="N10" i="2"/>
  <c r="I13" i="8"/>
  <c r="M13" i="8" s="1"/>
  <c r="H13" i="8"/>
  <c r="L13" i="8" s="1"/>
  <c r="G11" i="2"/>
  <c r="N11" i="2" s="1"/>
  <c r="H11" i="2"/>
  <c r="I12" i="2"/>
  <c r="S8" i="2"/>
  <c r="U8" i="2" s="1"/>
  <c r="Y8" i="2" s="1"/>
  <c r="D32" i="6" s="1"/>
  <c r="J10" i="8" l="1"/>
  <c r="N10" i="8" s="1"/>
  <c r="S10" i="8" s="1"/>
  <c r="J27" i="8"/>
  <c r="R10" i="2"/>
  <c r="Q10" i="2"/>
  <c r="Q9" i="2"/>
  <c r="F13" i="2"/>
  <c r="M12" i="2"/>
  <c r="E12" i="2"/>
  <c r="L11" i="2"/>
  <c r="T9" i="2"/>
  <c r="Z8" i="8"/>
  <c r="Z8" i="2" s="1"/>
  <c r="I14" i="8"/>
  <c r="M14" i="8" s="1"/>
  <c r="H14" i="8"/>
  <c r="L14" i="8" s="1"/>
  <c r="J11" i="8"/>
  <c r="N11" i="8" s="1"/>
  <c r="S11" i="8" s="1"/>
  <c r="Q9" i="8"/>
  <c r="T9" i="8" s="1"/>
  <c r="U9" i="8"/>
  <c r="G12" i="2"/>
  <c r="N12" i="2" s="1"/>
  <c r="I13" i="2"/>
  <c r="H12" i="2"/>
  <c r="T10" i="2"/>
  <c r="J28" i="8" l="1"/>
  <c r="D17" i="10"/>
  <c r="Q11" i="2"/>
  <c r="R11" i="2"/>
  <c r="F14" i="2"/>
  <c r="M13" i="2"/>
  <c r="E13" i="2"/>
  <c r="L12" i="2"/>
  <c r="S9" i="2"/>
  <c r="U9" i="2" s="1"/>
  <c r="I15" i="8"/>
  <c r="M15" i="8" s="1"/>
  <c r="H15" i="8"/>
  <c r="L15" i="8" s="1"/>
  <c r="J12" i="8"/>
  <c r="N12" i="8" s="1"/>
  <c r="S12" i="8" s="1"/>
  <c r="U10" i="8"/>
  <c r="Q10" i="8"/>
  <c r="T10" i="8" s="1"/>
  <c r="G13" i="2"/>
  <c r="N13" i="2" s="1"/>
  <c r="S10" i="2"/>
  <c r="U10" i="2" s="1"/>
  <c r="I14" i="2"/>
  <c r="H13" i="2"/>
  <c r="T11" i="2"/>
  <c r="J29" i="8" l="1"/>
  <c r="D21" i="6"/>
  <c r="D24" i="6" s="1"/>
  <c r="S11" i="2"/>
  <c r="U11" i="2" s="1"/>
  <c r="Y11" i="2" s="1"/>
  <c r="G32" i="6" s="1"/>
  <c r="Q12" i="2"/>
  <c r="R12" i="2"/>
  <c r="D35" i="6"/>
  <c r="D20" i="10" s="1"/>
  <c r="E14" i="2"/>
  <c r="L13" i="2"/>
  <c r="F15" i="2"/>
  <c r="M14" i="2"/>
  <c r="Y10" i="2"/>
  <c r="F32" i="6" s="1"/>
  <c r="V9" i="8"/>
  <c r="Y9" i="2"/>
  <c r="E32" i="6" s="1"/>
  <c r="V10" i="8"/>
  <c r="I16" i="8"/>
  <c r="M16" i="8" s="1"/>
  <c r="H16" i="8"/>
  <c r="L16" i="8" s="1"/>
  <c r="J13" i="8"/>
  <c r="N13" i="8" s="1"/>
  <c r="S13" i="8" s="1"/>
  <c r="Q11" i="8"/>
  <c r="T11" i="8" s="1"/>
  <c r="U11" i="8"/>
  <c r="G14" i="2"/>
  <c r="N14" i="2" s="1"/>
  <c r="H14" i="2"/>
  <c r="T12" i="2"/>
  <c r="I15" i="2"/>
  <c r="D23" i="6" l="1"/>
  <c r="D22" i="6"/>
  <c r="J30" i="8"/>
  <c r="G17" i="10"/>
  <c r="E17" i="10"/>
  <c r="F17" i="10"/>
  <c r="Q13" i="2"/>
  <c r="R13" i="2"/>
  <c r="D33" i="6"/>
  <c r="D18" i="10" s="1"/>
  <c r="D34" i="6"/>
  <c r="D19" i="10" s="1"/>
  <c r="F16" i="2"/>
  <c r="M15" i="2"/>
  <c r="E15" i="2"/>
  <c r="L14" i="2"/>
  <c r="Z9" i="8"/>
  <c r="V11" i="8"/>
  <c r="H17" i="8"/>
  <c r="I17" i="8"/>
  <c r="J14" i="8"/>
  <c r="N14" i="8" s="1"/>
  <c r="S14" i="8" s="1"/>
  <c r="U12" i="8"/>
  <c r="Q12" i="8"/>
  <c r="T12" i="8" s="1"/>
  <c r="Z10" i="8"/>
  <c r="G15" i="2"/>
  <c r="N15" i="2" s="1"/>
  <c r="S12" i="2"/>
  <c r="U12" i="2" s="1"/>
  <c r="I16" i="2"/>
  <c r="H15" i="2"/>
  <c r="T13" i="2"/>
  <c r="J31" i="8" l="1"/>
  <c r="M17" i="8"/>
  <c r="I18" i="8"/>
  <c r="M18" i="8" s="1"/>
  <c r="L17" i="8"/>
  <c r="H18" i="8"/>
  <c r="L18" i="8" s="1"/>
  <c r="Q14" i="2"/>
  <c r="R14" i="2"/>
  <c r="F17" i="2"/>
  <c r="F18" i="2" s="1"/>
  <c r="M16" i="2"/>
  <c r="E16" i="2"/>
  <c r="L15" i="2"/>
  <c r="V12" i="8"/>
  <c r="Y12" i="2"/>
  <c r="H32" i="6" s="1"/>
  <c r="Z10" i="2"/>
  <c r="F21" i="6" s="1"/>
  <c r="Z9" i="2"/>
  <c r="E21" i="6" s="1"/>
  <c r="Z11" i="8"/>
  <c r="J15" i="8"/>
  <c r="N15" i="8" s="1"/>
  <c r="S15" i="8" s="1"/>
  <c r="U13" i="8"/>
  <c r="Q13" i="8"/>
  <c r="T13" i="8" s="1"/>
  <c r="G16" i="2"/>
  <c r="N16" i="2" s="1"/>
  <c r="H16" i="2"/>
  <c r="T14" i="2"/>
  <c r="I17" i="2"/>
  <c r="I18" i="2" s="1"/>
  <c r="S13" i="2"/>
  <c r="U13" i="2" s="1"/>
  <c r="J32" i="8" l="1"/>
  <c r="M18" i="2"/>
  <c r="F23" i="6"/>
  <c r="E23" i="6"/>
  <c r="H17" i="10"/>
  <c r="F22" i="6"/>
  <c r="F24" i="6"/>
  <c r="E24" i="6"/>
  <c r="E22" i="6"/>
  <c r="Q15" i="2"/>
  <c r="R15" i="2"/>
  <c r="E34" i="6"/>
  <c r="E19" i="10" s="1"/>
  <c r="F35" i="6"/>
  <c r="F20" i="10" s="1"/>
  <c r="M17" i="2"/>
  <c r="E17" i="2"/>
  <c r="E18" i="2" s="1"/>
  <c r="L16" i="2"/>
  <c r="Z11" i="2"/>
  <c r="G21" i="6" s="1"/>
  <c r="V13" i="8"/>
  <c r="Y13" i="2"/>
  <c r="I32" i="6" s="1"/>
  <c r="Z12" i="8"/>
  <c r="J16" i="8"/>
  <c r="N16" i="8" s="1"/>
  <c r="S16" i="8" s="1"/>
  <c r="U14" i="8"/>
  <c r="Q14" i="8"/>
  <c r="T14" i="8" s="1"/>
  <c r="G17" i="2"/>
  <c r="H17" i="2"/>
  <c r="H18" i="2" s="1"/>
  <c r="T15" i="2"/>
  <c r="S14" i="2"/>
  <c r="U14" i="2" s="1"/>
  <c r="L18" i="2" l="1"/>
  <c r="J33" i="8"/>
  <c r="N17" i="2"/>
  <c r="G18" i="2"/>
  <c r="N18" i="2" s="1"/>
  <c r="I17" i="10"/>
  <c r="G22" i="6"/>
  <c r="G24" i="6"/>
  <c r="G23" i="6"/>
  <c r="Q16" i="2"/>
  <c r="R16" i="2"/>
  <c r="E35" i="6"/>
  <c r="E20" i="10" s="1"/>
  <c r="E33" i="6"/>
  <c r="E18" i="10" s="1"/>
  <c r="F34" i="6"/>
  <c r="F19" i="10" s="1"/>
  <c r="F33" i="6"/>
  <c r="F18" i="10" s="1"/>
  <c r="G33" i="6"/>
  <c r="G18" i="10" s="1"/>
  <c r="L17" i="2"/>
  <c r="V14" i="8"/>
  <c r="Y14" i="2"/>
  <c r="J32" i="6" s="1"/>
  <c r="Z12" i="2"/>
  <c r="H21" i="6" s="1"/>
  <c r="Z13" i="8"/>
  <c r="Q15" i="8"/>
  <c r="T15" i="8" s="1"/>
  <c r="U15" i="8"/>
  <c r="J17" i="8"/>
  <c r="S15" i="2"/>
  <c r="U15" i="2" s="1"/>
  <c r="T16" i="2"/>
  <c r="J34" i="8" l="1"/>
  <c r="Q18" i="2"/>
  <c r="T18" i="2"/>
  <c r="R18" i="2"/>
  <c r="N17" i="8"/>
  <c r="S17" i="8" s="1"/>
  <c r="J18" i="8"/>
  <c r="N18" i="8" s="1"/>
  <c r="J17" i="10"/>
  <c r="H23" i="6"/>
  <c r="H22" i="6"/>
  <c r="H24" i="6"/>
  <c r="Q17" i="2"/>
  <c r="R17" i="2"/>
  <c r="H34" i="6"/>
  <c r="H19" i="10" s="1"/>
  <c r="G34" i="6"/>
  <c r="G19" i="10" s="1"/>
  <c r="G35" i="6"/>
  <c r="G20" i="10" s="1"/>
  <c r="H33" i="6"/>
  <c r="H18" i="10" s="1"/>
  <c r="Z14" i="8"/>
  <c r="Z14" i="2" s="1"/>
  <c r="J21" i="6" s="1"/>
  <c r="V15" i="8"/>
  <c r="Y15" i="2"/>
  <c r="K32" i="6" s="1"/>
  <c r="Z13" i="2"/>
  <c r="I21" i="6" s="1"/>
  <c r="U16" i="8"/>
  <c r="Q16" i="8"/>
  <c r="T16" i="8" s="1"/>
  <c r="T17" i="2"/>
  <c r="S16" i="2"/>
  <c r="U16" i="2" s="1"/>
  <c r="J35" i="8" l="1"/>
  <c r="S18" i="8"/>
  <c r="U18" i="8"/>
  <c r="Q18" i="8"/>
  <c r="S18" i="2"/>
  <c r="U18" i="2" s="1"/>
  <c r="Y18" i="2" s="1"/>
  <c r="N32" i="6" s="1"/>
  <c r="K17" i="10"/>
  <c r="I22" i="6"/>
  <c r="I24" i="6"/>
  <c r="I23" i="6"/>
  <c r="J23" i="6"/>
  <c r="H35" i="6"/>
  <c r="H20" i="10" s="1"/>
  <c r="I33" i="6"/>
  <c r="I18" i="10" s="1"/>
  <c r="J22" i="6"/>
  <c r="J24" i="6"/>
  <c r="J34" i="6"/>
  <c r="J19" i="10" s="1"/>
  <c r="V16" i="8"/>
  <c r="Y16" i="2"/>
  <c r="L32" i="6" s="1"/>
  <c r="Z15" i="8"/>
  <c r="Q17" i="8"/>
  <c r="T17" i="8" s="1"/>
  <c r="U17" i="8"/>
  <c r="S17" i="2"/>
  <c r="U17" i="2" s="1"/>
  <c r="T18" i="8" l="1"/>
  <c r="V18" i="8" s="1"/>
  <c r="N33" i="6"/>
  <c r="N18" i="10" s="1"/>
  <c r="N34" i="6"/>
  <c r="N19" i="10" s="1"/>
  <c r="N35" i="6"/>
  <c r="N20" i="10" s="1"/>
  <c r="N17" i="10"/>
  <c r="L17" i="10"/>
  <c r="U19" i="2"/>
  <c r="P32" i="6" s="1"/>
  <c r="P17" i="10" s="1"/>
  <c r="I34" i="6"/>
  <c r="I19" i="10" s="1"/>
  <c r="I35" i="6"/>
  <c r="I20" i="10" s="1"/>
  <c r="J33" i="6"/>
  <c r="J18" i="10" s="1"/>
  <c r="J35" i="6"/>
  <c r="J20" i="10" s="1"/>
  <c r="Z16" i="8"/>
  <c r="Z16" i="2" s="1"/>
  <c r="L21" i="6" s="1"/>
  <c r="Y17" i="2"/>
  <c r="M32" i="6" s="1"/>
  <c r="Z15" i="2"/>
  <c r="K21" i="6" s="1"/>
  <c r="V17" i="8"/>
  <c r="Z18" i="8" l="1"/>
  <c r="Z18" i="2" s="1"/>
  <c r="N21" i="6" s="1"/>
  <c r="V19" i="8"/>
  <c r="V20" i="8" s="1"/>
  <c r="M17" i="10"/>
  <c r="K22" i="6"/>
  <c r="K24" i="6"/>
  <c r="Z17" i="8"/>
  <c r="Z17" i="2" s="1"/>
  <c r="M21" i="6" s="1"/>
  <c r="K23" i="6"/>
  <c r="L23" i="6"/>
  <c r="L22" i="6"/>
  <c r="K35" i="6"/>
  <c r="K20" i="10" s="1"/>
  <c r="L24" i="6"/>
  <c r="L33" i="6"/>
  <c r="L18" i="10" s="1"/>
  <c r="P21" i="6" l="1"/>
  <c r="N22" i="6"/>
  <c r="N24" i="6"/>
  <c r="N23" i="6"/>
  <c r="K34" i="6"/>
  <c r="K19" i="10" s="1"/>
  <c r="M23" i="6"/>
  <c r="L34" i="6"/>
  <c r="L19" i="10" s="1"/>
  <c r="L35" i="6"/>
  <c r="L20" i="10" s="1"/>
  <c r="M24" i="6"/>
  <c r="M34" i="6"/>
  <c r="M19" i="10" s="1"/>
  <c r="M22" i="6"/>
  <c r="K33" i="6"/>
  <c r="K18" i="10" s="1"/>
  <c r="M33" i="6" l="1"/>
  <c r="M18" i="10" s="1"/>
  <c r="M35" i="6"/>
  <c r="M20" i="10" s="1"/>
  <c r="C9" i="5"/>
  <c r="K26" i="8"/>
  <c r="Q26" i="8" l="1"/>
  <c r="S26" i="8"/>
  <c r="U26" i="8"/>
  <c r="T26" i="8" l="1"/>
  <c r="V26" i="8" s="1"/>
  <c r="Z26" i="8" s="1"/>
  <c r="Z37" i="8" s="1"/>
  <c r="P21" i="13" s="1"/>
  <c r="V36" i="8" l="1"/>
  <c r="E21" i="13" l="1"/>
  <c r="E22" i="13" s="1"/>
  <c r="E23" i="13" l="1"/>
  <c r="E24" i="13"/>
  <c r="AA25" i="8"/>
  <c r="G26" i="8" s="1"/>
  <c r="N26" i="8" s="1"/>
  <c r="D39" i="13" l="1"/>
  <c r="D20" i="11" s="1"/>
  <c r="D38" i="13"/>
  <c r="D19" i="11" s="1"/>
  <c r="D37" i="13"/>
  <c r="D18" i="11" s="1"/>
  <c r="G27" i="8"/>
  <c r="Q36" i="13" l="1"/>
  <c r="AA37" i="8"/>
  <c r="P17" i="11"/>
  <c r="N27" i="8"/>
  <c r="G28" i="8"/>
  <c r="N28" i="8" l="1"/>
  <c r="G29" i="8"/>
  <c r="G30" i="8" l="1"/>
  <c r="N29" i="8"/>
  <c r="N30" i="8" l="1"/>
  <c r="G31" i="8"/>
  <c r="G32" i="8" l="1"/>
  <c r="N31" i="8"/>
  <c r="G33" i="8" l="1"/>
  <c r="N32" i="8"/>
  <c r="N33" i="8" l="1"/>
  <c r="G34" i="8"/>
  <c r="N34" i="8" l="1"/>
  <c r="G35" i="8"/>
  <c r="N35" i="8" s="1"/>
</calcChain>
</file>

<file path=xl/sharedStrings.xml><?xml version="1.0" encoding="utf-8"?>
<sst xmlns="http://schemas.openxmlformats.org/spreadsheetml/2006/main" count="365" uniqueCount="148">
  <si>
    <t>Base Rate</t>
  </si>
  <si>
    <t>LCOE</t>
  </si>
  <si>
    <t>Base Rate Net of DC</t>
  </si>
  <si>
    <t>Proposed Load to be supplied (MW)</t>
  </si>
  <si>
    <t>Unit</t>
  </si>
  <si>
    <t>Load Factor (%)</t>
  </si>
  <si>
    <t>Total Annual Energy (kWh)</t>
  </si>
  <si>
    <t>US Inflation Rate (USCPI)</t>
  </si>
  <si>
    <t>Reliability</t>
  </si>
  <si>
    <t>PH Inflation Rate (RPCPI)</t>
  </si>
  <si>
    <t>Fuel Escalation Rate (Coal)</t>
  </si>
  <si>
    <t>WESM Average Price</t>
  </si>
  <si>
    <t>Php/kWh</t>
  </si>
  <si>
    <t>Price Component</t>
  </si>
  <si>
    <t>WESM VAT GMR</t>
  </si>
  <si>
    <t>USD/MT</t>
  </si>
  <si>
    <t>Fuel Type</t>
  </si>
  <si>
    <t>Price Component (GenCo)</t>
  </si>
  <si>
    <t>Year</t>
  </si>
  <si>
    <t>n</t>
  </si>
  <si>
    <t>Capital Recovery</t>
  </si>
  <si>
    <t>Fixed O&amp;M</t>
  </si>
  <si>
    <t>Variable O&amp;M</t>
  </si>
  <si>
    <t>Fuel</t>
  </si>
  <si>
    <t>Scheduled Outages</t>
  </si>
  <si>
    <t>Unscheduled Outages</t>
  </si>
  <si>
    <t>Levelized Cost of Energy (PhP/kWh)</t>
  </si>
  <si>
    <t>EVALUATION WORKSHEET</t>
  </si>
  <si>
    <t>Details</t>
  </si>
  <si>
    <t>Index</t>
  </si>
  <si>
    <t>RE</t>
  </si>
  <si>
    <t>Non-RE</t>
  </si>
  <si>
    <t>N/A</t>
  </si>
  <si>
    <t>I. GENERAL INPUT</t>
  </si>
  <si>
    <t>II. PRICE INPUT</t>
  </si>
  <si>
    <t>RPCPI  BASE PRICE</t>
  </si>
  <si>
    <t>CAP</t>
  </si>
  <si>
    <t>US CPI</t>
  </si>
  <si>
    <t>RP CPI</t>
  </si>
  <si>
    <t>CRF</t>
  </si>
  <si>
    <t>FOM</t>
  </si>
  <si>
    <t>VOM</t>
  </si>
  <si>
    <t>Forced Outages (hrs) per year</t>
  </si>
  <si>
    <t>Scheduled Outages (hrs) per year</t>
  </si>
  <si>
    <t>Total Outages (hrs) per year</t>
  </si>
  <si>
    <t>TOTAL</t>
  </si>
  <si>
    <t>Base</t>
  </si>
  <si>
    <t xml:space="preserve">% </t>
  </si>
  <si>
    <t>PH CPI</t>
  </si>
  <si>
    <t>Coal</t>
  </si>
  <si>
    <t>MAX VALUE</t>
  </si>
  <si>
    <t>FOM
(Escalating)</t>
  </si>
  <si>
    <t>VOM
(Escalating)</t>
  </si>
  <si>
    <t>FUEL
(Escalating)</t>
  </si>
  <si>
    <t>FOM
(Fixed)</t>
  </si>
  <si>
    <t>VOM
(Fixed)</t>
  </si>
  <si>
    <t>FUEL
(Fixed)</t>
  </si>
  <si>
    <t>P/kWh</t>
  </si>
  <si>
    <t>PhP</t>
  </si>
  <si>
    <t>kWh</t>
  </si>
  <si>
    <t>VAT</t>
  </si>
  <si>
    <t>Net of Discount</t>
  </si>
  <si>
    <t>Discount</t>
  </si>
  <si>
    <t>SUB-TOTAL</t>
  </si>
  <si>
    <t>Outage Energy (kWh)</t>
  </si>
  <si>
    <t>Indices Annual Percent Escalation</t>
  </si>
  <si>
    <t>Value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</si>
  <si>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</si>
  <si>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</si>
  <si>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</si>
  <si>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</si>
  <si>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</si>
  <si>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</si>
  <si>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</si>
  <si>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</si>
  <si>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</si>
  <si>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</si>
  <si>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NEWCASTLE COAL BASE PRICE</t>
  </si>
  <si>
    <t>% Subject of Escalation</t>
  </si>
  <si>
    <t>CUF</t>
  </si>
  <si>
    <t>Capacity Fee(CRF+O&amp;M)</t>
  </si>
  <si>
    <t>Energy Fee(Fuel) or</t>
  </si>
  <si>
    <t>IV. INDICES INPUT</t>
  </si>
  <si>
    <t>III. DISCOUNT INPUT</t>
  </si>
  <si>
    <t>Fuel Escalation</t>
  </si>
  <si>
    <t>USCPI  BASE PRICE</t>
  </si>
  <si>
    <t xml:space="preserve">energy </t>
  </si>
  <si>
    <t>demand</t>
  </si>
  <si>
    <t>max</t>
  </si>
  <si>
    <t>outages(kWhr)</t>
  </si>
  <si>
    <t>Net of PPD</t>
  </si>
  <si>
    <t>w/o PPD</t>
  </si>
  <si>
    <t>3.2 % PPD Discount</t>
  </si>
  <si>
    <t>Net with PPD</t>
  </si>
  <si>
    <t>F I N A N C I A L   P R O P O S A L</t>
  </si>
  <si>
    <t>yellow CELLS</t>
  </si>
  <si>
    <t>Collection Efficiency (CE)</t>
  </si>
  <si>
    <t>Prepared by:</t>
  </si>
  <si>
    <t>Authorized Representatve</t>
  </si>
  <si>
    <t>• 2.5% ten (10) working days after receipt of power bill</t>
  </si>
  <si>
    <t>Approved by:</t>
  </si>
  <si>
    <t>1. ___percent (___%) of the Capacity Fee</t>
  </si>
  <si>
    <t xml:space="preserve">3. ___ percent (___%) of the Collection Efficiency (CE) </t>
  </si>
  <si>
    <t xml:space="preserve"> </t>
  </si>
  <si>
    <t>The Supplier shall extend mandatory Prompt Payment Discount (PPD) based from the total billed amount for the following: (As indicated in the TOR and will be form part of PSA)</t>
  </si>
  <si>
    <t>LR</t>
  </si>
  <si>
    <t>Market fees</t>
  </si>
  <si>
    <t>2. Additional ___ percent (___%) of Prompt Payment Discount (PPD)</t>
  </si>
  <si>
    <t>2022-2025 Forecast</t>
  </si>
  <si>
    <t>1. CRF</t>
  </si>
  <si>
    <t>2. FOM Value, % Escalation and Index</t>
  </si>
  <si>
    <t>3. VOM Value, % Escalation and Index</t>
  </si>
  <si>
    <t xml:space="preserve">Please input only to </t>
  </si>
  <si>
    <t>yellow cells</t>
  </si>
  <si>
    <r>
      <rPr>
        <b/>
        <sz val="10"/>
        <color rgb="FFFF0000"/>
        <rFont val="Arial"/>
        <family val="2"/>
      </rPr>
      <t>Additional</t>
    </r>
    <r>
      <rPr>
        <b/>
        <sz val="10"/>
        <color theme="1"/>
        <rFont val="Arial"/>
        <family val="2"/>
      </rPr>
      <t xml:space="preserve"> Discount above 3.2% Mandatory (PPD)</t>
    </r>
  </si>
  <si>
    <t xml:space="preserve">* In case of alternative proposal from the result of template of evaluation, kindly input your offer/rate on the table C in the </t>
  </si>
  <si>
    <t>Bid offer are inclusive/s of the following discount/s: (As reflected from INPUT sheet under III. DISCOUNT INPUT or separate offer from Table C and will be form part of PSA)</t>
  </si>
  <si>
    <r>
      <t xml:space="preserve">USING A SEPARATE TEMPLATE OF </t>
    </r>
    <r>
      <rPr>
        <b/>
        <sz val="11"/>
        <color rgb="FFFF0000"/>
        <rFont val="Arial"/>
        <family val="2"/>
      </rPr>
      <t>TABLE C</t>
    </r>
    <r>
      <rPr>
        <b/>
        <sz val="11"/>
        <rFont val="Arial"/>
        <family val="2"/>
      </rPr>
      <t xml:space="preserve"> FOR BIDDER LCOE OFFER</t>
    </r>
  </si>
  <si>
    <r>
      <rPr>
        <b/>
        <sz val="15"/>
        <color rgb="FFFF0000"/>
        <rFont val="Arial"/>
        <family val="2"/>
      </rPr>
      <t>TABLE C</t>
    </r>
    <r>
      <rPr>
        <b/>
        <sz val="15"/>
        <color theme="1"/>
        <rFont val="Arial"/>
        <family val="2"/>
      </rPr>
      <t>_BID OFFER</t>
    </r>
    <r>
      <rPr>
        <b/>
        <sz val="15"/>
        <rFont val="Arial"/>
        <family val="2"/>
      </rPr>
      <t xml:space="preserve"> NET</t>
    </r>
    <r>
      <rPr>
        <b/>
        <sz val="15"/>
        <color theme="1"/>
        <rFont val="Arial"/>
        <family val="2"/>
      </rPr>
      <t xml:space="preserve"> OF DISCOUNT/S</t>
    </r>
  </si>
  <si>
    <r>
      <rPr>
        <b/>
        <sz val="15"/>
        <color rgb="FFFF0000"/>
        <rFont val="Arial"/>
        <family val="2"/>
      </rPr>
      <t>TABLE C</t>
    </r>
    <r>
      <rPr>
        <b/>
        <sz val="15"/>
        <color theme="1"/>
        <rFont val="Arial"/>
        <family val="2"/>
      </rPr>
      <t>_BID OFFER NET OF DISCOUNT/S</t>
    </r>
  </si>
  <si>
    <t>Bid offer are inclusive/s of the following discount/s: (As reflected from INPUT sheet under III. DISCOUNT INPUT and will be form part of PSA)</t>
  </si>
  <si>
    <t>Bid offer are inclusive/s of the following discount/s and will be form part of PSA.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</si>
  <si>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Indicate the following values or percent of discount from sheet Table_C</t>
    </r>
  </si>
  <si>
    <t>Contracted Energy</t>
  </si>
  <si>
    <t>COMPANY LETTER HEAD</t>
  </si>
  <si>
    <t>Designation</t>
  </si>
  <si>
    <t>__________________</t>
  </si>
  <si>
    <t>• 3.2%, seven (7) working days after receipt of power bill</t>
  </si>
  <si>
    <r>
      <rPr>
        <b/>
        <sz val="15"/>
        <color rgb="FFFF0000"/>
        <rFont val="Arial"/>
        <family val="2"/>
      </rPr>
      <t>TABLE A</t>
    </r>
    <r>
      <rPr>
        <b/>
        <sz val="15"/>
        <color theme="1"/>
        <rFont val="Arial"/>
        <family val="2"/>
      </rPr>
      <t>_BID OFFER W/O (3.2%) PPD</t>
    </r>
  </si>
  <si>
    <r>
      <rPr>
        <b/>
        <sz val="15"/>
        <color rgb="FFFF0000"/>
        <rFont val="Arial"/>
        <family val="2"/>
      </rPr>
      <t>TABLE B</t>
    </r>
    <r>
      <rPr>
        <b/>
        <sz val="15"/>
        <color theme="1"/>
        <rFont val="Arial"/>
        <family val="2"/>
      </rPr>
      <t>_BID OFFER NET OF DISCOUNT/S</t>
    </r>
  </si>
  <si>
    <r>
      <rPr>
        <b/>
        <sz val="15"/>
        <color rgb="FFFF0000"/>
        <rFont val="Arial"/>
        <family val="2"/>
      </rPr>
      <t>TABLE B</t>
    </r>
    <r>
      <rPr>
        <b/>
        <sz val="15"/>
        <color theme="1"/>
        <rFont val="Arial"/>
        <family val="2"/>
      </rPr>
      <t>_BID OFFE</t>
    </r>
    <r>
      <rPr>
        <b/>
        <sz val="15"/>
        <rFont val="Arial"/>
        <family val="2"/>
      </rPr>
      <t>R NET</t>
    </r>
    <r>
      <rPr>
        <b/>
        <sz val="15"/>
        <color theme="1"/>
        <rFont val="Arial"/>
        <family val="2"/>
      </rPr>
      <t xml:space="preserve"> OF DISCOUNT/S</t>
    </r>
  </si>
  <si>
    <r>
      <t xml:space="preserve">USING THE TEMPLATE AND </t>
    </r>
    <r>
      <rPr>
        <b/>
        <sz val="11"/>
        <color rgb="FFFF0000"/>
        <rFont val="Arial"/>
        <family val="2"/>
      </rPr>
      <t>TABLE B</t>
    </r>
    <r>
      <rPr>
        <b/>
        <sz val="11"/>
        <color theme="1"/>
        <rFont val="Arial"/>
        <family val="2"/>
      </rPr>
      <t xml:space="preserve"> FOR BIDDER LCOE OFFER</t>
    </r>
  </si>
  <si>
    <t>2022 Ave. Bureau of Labor Statistics (Jan-Nov)</t>
  </si>
  <si>
    <t>2022 Average of BSP (Jan-Dec) 2018=100</t>
  </si>
  <si>
    <t>2022 Average</t>
  </si>
  <si>
    <t>2022 Average (Jan-Dec) 2018=100</t>
  </si>
  <si>
    <t>2022 Average (Jan-Nov)</t>
  </si>
  <si>
    <t>2022 Average (Replacement Power Cost)</t>
  </si>
  <si>
    <t>Year 11</t>
  </si>
  <si>
    <t>LOT 3</t>
  </si>
  <si>
    <t>4. Discount Input for Capacity Fee(CRF+O&amp;M)</t>
  </si>
  <si>
    <t>5. Additional Discount Input above 3.2% Mandatory (PPD)</t>
  </si>
  <si>
    <t>6. Discount Input for Collection Efficiency (CE)</t>
  </si>
  <si>
    <t>7. Indices Annual Percent Escalation for US CPI not to exceed 8.15% CAP (2023-2032)</t>
  </si>
  <si>
    <t>8. Indices Annual Percent Escalation forRP CPI not to exceed 5.80% CAP (2023-2032)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</si>
  <si>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Indicate the following values or percent of discount from sheet Table_B</t>
    </r>
  </si>
  <si>
    <t>ILECO III</t>
  </si>
  <si>
    <t>PRICE CAP - Php 5.9489 per kWhr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</si>
</sst>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  <numFmt numFmtId="166" formatCode="0.0000"/>
    <numFmt numFmtId="167" formatCode="0.000"/>
    <numFmt numFmtId="168" formatCode="_-* #,##0_-;\-* #,##0_-;_-* &quot;-&quot;??_-;_-@_-"/>
    <numFmt numFmtId="169" formatCode="_(* #,##0.0000_);_(* \(#,##0.0000\);_(* &quot;-&quot;??_);_(@_)"/>
    <numFmt numFmtId="170" formatCode="0.0000%"/>
    <numFmt numFmtId="171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10"/>
      <color theme="0" tint="-0.34998626667073579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u/>
      <sz val="18"/>
      <color theme="1"/>
      <name val="Arial"/>
      <family val="2"/>
    </font>
    <font>
      <i/>
      <u/>
      <sz val="8"/>
      <color theme="2" tint="-9.9978637043366805E-2"/>
      <name val="Arial"/>
      <family val="2"/>
    </font>
    <font>
      <b/>
      <sz val="15"/>
      <color theme="1"/>
      <name val="Arial"/>
      <family val="2"/>
    </font>
    <font>
      <b/>
      <sz val="15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6"/>
      <color rgb="FFFF0000"/>
      <name val="Arial"/>
      <family val="2"/>
    </font>
    <font>
      <sz val="8"/>
      <color theme="2" tint="-0.749992370372631"/>
      <name val="Arial"/>
      <family val="2"/>
    </font>
    <font>
      <b/>
      <sz val="12"/>
      <name val="Arial"/>
      <family val="2"/>
    </font>
    <font>
      <sz val="11"/>
      <color rgb="FFFFFF00"/>
      <name val="Arial"/>
      <family val="2"/>
    </font>
    <font>
      <sz val="10.8"/>
      <color rgb="FFFF000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36">
    <xf numFmtId="0" fontId="0" fillId="0" borderId="0" xfId="0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8" fontId="16" fillId="0" borderId="1" xfId="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0" fillId="0" borderId="0" xfId="0" applyBorder="1"/>
    <xf numFmtId="165" fontId="16" fillId="2" borderId="1" xfId="1" applyNumberFormat="1" applyFont="1" applyFill="1" applyBorder="1" applyAlignment="1" applyProtection="1">
      <alignment horizontal="left" vertical="center"/>
      <protection locked="0"/>
    </xf>
    <xf numFmtId="9" fontId="16" fillId="2" borderId="1" xfId="2" applyFont="1" applyFill="1" applyBorder="1" applyAlignment="1" applyProtection="1">
      <alignment horizontal="center" vertical="center"/>
      <protection locked="0"/>
    </xf>
    <xf numFmtId="0" fontId="13" fillId="7" borderId="0" xfId="0" applyFont="1" applyFill="1"/>
    <xf numFmtId="0" fontId="15" fillId="7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166" fontId="16" fillId="7" borderId="0" xfId="0" applyNumberFormat="1" applyFont="1" applyFill="1" applyAlignment="1">
      <alignment horizontal="center" vertical="center"/>
    </xf>
    <xf numFmtId="165" fontId="13" fillId="7" borderId="0" xfId="1" applyNumberFormat="1" applyFont="1" applyFill="1"/>
    <xf numFmtId="0" fontId="19" fillId="7" borderId="6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166" fontId="16" fillId="7" borderId="1" xfId="0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0" fontId="13" fillId="7" borderId="9" xfId="0" applyFont="1" applyFill="1" applyBorder="1"/>
    <xf numFmtId="0" fontId="13" fillId="7" borderId="11" xfId="0" applyFont="1" applyFill="1" applyBorder="1"/>
    <xf numFmtId="0" fontId="13" fillId="7" borderId="0" xfId="0" applyFont="1" applyFill="1" applyBorder="1"/>
    <xf numFmtId="0" fontId="20" fillId="7" borderId="0" xfId="0" applyFont="1" applyFill="1" applyAlignment="1">
      <alignment horizontal="left" vertical="center"/>
    </xf>
    <xf numFmtId="3" fontId="25" fillId="7" borderId="0" xfId="0" applyNumberFormat="1" applyFont="1" applyFill="1"/>
    <xf numFmtId="3" fontId="13" fillId="7" borderId="0" xfId="0" applyNumberFormat="1" applyFont="1" applyFill="1"/>
    <xf numFmtId="0" fontId="16" fillId="2" borderId="1" xfId="0" applyFont="1" applyFill="1" applyBorder="1" applyAlignment="1" applyProtection="1">
      <alignment horizontal="center" vertical="center"/>
      <protection locked="0"/>
    </xf>
    <xf numFmtId="166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17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9" fontId="30" fillId="0" borderId="0" xfId="0" applyNumberFormat="1" applyFont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168" fontId="30" fillId="0" borderId="0" xfId="1" applyNumberFormat="1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horizontal="left" vertical="center"/>
    </xf>
    <xf numFmtId="9" fontId="16" fillId="0" borderId="0" xfId="2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/>
    </xf>
    <xf numFmtId="165" fontId="16" fillId="0" borderId="0" xfId="1" applyNumberFormat="1" applyFont="1" applyFill="1" applyBorder="1" applyAlignment="1" applyProtection="1">
      <alignment horizontal="center" vertical="center"/>
    </xf>
    <xf numFmtId="10" fontId="16" fillId="0" borderId="1" xfId="2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65" fontId="23" fillId="0" borderId="0" xfId="1" applyNumberFormat="1" applyFont="1" applyFill="1" applyBorder="1" applyAlignment="1" applyProtection="1">
      <alignment horizontal="left" vertical="center"/>
    </xf>
    <xf numFmtId="165" fontId="13" fillId="0" borderId="0" xfId="1" applyNumberFormat="1" applyFont="1" applyAlignment="1" applyProtection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3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9" fontId="11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7" borderId="8" xfId="0" applyFont="1" applyFill="1" applyBorder="1"/>
    <xf numFmtId="0" fontId="4" fillId="7" borderId="11" xfId="0" applyFont="1" applyFill="1" applyBorder="1"/>
    <xf numFmtId="166" fontId="13" fillId="2" borderId="0" xfId="0" applyNumberFormat="1" applyFont="1" applyFill="1" applyBorder="1" applyAlignment="1">
      <alignment vertical="center"/>
    </xf>
    <xf numFmtId="166" fontId="13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170" fontId="19" fillId="3" borderId="1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 applyProtection="1">
      <alignment horizontal="center" vertical="center"/>
    </xf>
    <xf numFmtId="170" fontId="16" fillId="0" borderId="1" xfId="2" applyNumberFormat="1" applyFont="1" applyFill="1" applyBorder="1" applyAlignment="1" applyProtection="1">
      <alignment horizontal="center" vertical="center"/>
    </xf>
    <xf numFmtId="170" fontId="16" fillId="2" borderId="1" xfId="2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horizontal="right" vertical="center" wrapText="1"/>
    </xf>
    <xf numFmtId="0" fontId="36" fillId="2" borderId="0" xfId="0" applyFont="1" applyFill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left" vertical="center"/>
    </xf>
    <xf numFmtId="9" fontId="41" fillId="0" borderId="9" xfId="0" applyNumberFormat="1" applyFont="1" applyBorder="1" applyAlignment="1" applyProtection="1">
      <alignment horizontal="center" vertical="center"/>
    </xf>
    <xf numFmtId="0" fontId="42" fillId="0" borderId="9" xfId="0" applyFont="1" applyFill="1" applyBorder="1" applyAlignment="1" applyProtection="1">
      <alignment vertical="center"/>
    </xf>
    <xf numFmtId="168" fontId="41" fillId="0" borderId="0" xfId="1" applyNumberFormat="1" applyFont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2" fontId="22" fillId="0" borderId="12" xfId="0" applyNumberFormat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15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horizontal="center" vertical="center"/>
    </xf>
    <xf numFmtId="2" fontId="22" fillId="0" borderId="14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168" fontId="47" fillId="0" borderId="8" xfId="1" applyNumberFormat="1" applyFont="1" applyBorder="1" applyAlignment="1" applyProtection="1">
      <alignment horizontal="left" vertical="center"/>
    </xf>
    <xf numFmtId="168" fontId="47" fillId="0" borderId="11" xfId="1" applyNumberFormat="1" applyFont="1" applyBorder="1" applyAlignment="1" applyProtection="1">
      <alignment horizontal="left" vertical="center"/>
    </xf>
    <xf numFmtId="0" fontId="12" fillId="7" borderId="0" xfId="0" applyFont="1" applyFill="1" applyAlignment="1" applyProtection="1">
      <alignment vertical="center"/>
    </xf>
    <xf numFmtId="0" fontId="12" fillId="7" borderId="0" xfId="0" applyFont="1" applyFill="1" applyAlignment="1" applyProtection="1">
      <alignment horizontal="left" vertical="center"/>
    </xf>
    <xf numFmtId="0" fontId="6" fillId="7" borderId="0" xfId="0" applyFont="1" applyFill="1" applyAlignment="1" applyProtection="1">
      <alignment vertical="center"/>
    </xf>
    <xf numFmtId="0" fontId="12" fillId="7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</xf>
    <xf numFmtId="0" fontId="32" fillId="7" borderId="1" xfId="0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/>
    </xf>
    <xf numFmtId="0" fontId="12" fillId="7" borderId="0" xfId="0" applyFont="1" applyFill="1" applyBorder="1" applyAlignment="1" applyProtection="1">
      <alignment vertical="center"/>
    </xf>
    <xf numFmtId="2" fontId="12" fillId="7" borderId="1" xfId="0" applyNumberFormat="1" applyFont="1" applyFill="1" applyBorder="1" applyAlignment="1" applyProtection="1">
      <alignment horizontal="center" vertical="center"/>
    </xf>
    <xf numFmtId="9" fontId="3" fillId="7" borderId="1" xfId="0" applyNumberFormat="1" applyFont="1" applyFill="1" applyBorder="1" applyAlignment="1" applyProtection="1">
      <alignment horizontal="left" vertical="center"/>
    </xf>
    <xf numFmtId="166" fontId="12" fillId="9" borderId="1" xfId="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 applyProtection="1">
      <alignment vertical="center"/>
    </xf>
    <xf numFmtId="166" fontId="21" fillId="6" borderId="0" xfId="0" applyNumberFormat="1" applyFont="1" applyFill="1" applyAlignment="1" applyProtection="1">
      <alignment horizontal="center" vertical="center"/>
    </xf>
    <xf numFmtId="166" fontId="12" fillId="8" borderId="1" xfId="0" applyNumberFormat="1" applyFont="1" applyFill="1" applyBorder="1" applyAlignment="1" applyProtection="1">
      <alignment horizontal="center" vertical="center"/>
    </xf>
    <xf numFmtId="166" fontId="21" fillId="7" borderId="0" xfId="0" applyNumberFormat="1" applyFont="1" applyFill="1" applyAlignment="1" applyProtection="1">
      <alignment horizontal="center" vertical="center"/>
    </xf>
    <xf numFmtId="0" fontId="33" fillId="7" borderId="1" xfId="0" applyFont="1" applyFill="1" applyBorder="1" applyAlignment="1" applyProtection="1">
      <alignment vertical="center"/>
    </xf>
    <xf numFmtId="0" fontId="32" fillId="7" borderId="0" xfId="0" applyFont="1" applyFill="1" applyAlignment="1" applyProtection="1">
      <alignment horizontal="center" vertical="center"/>
    </xf>
    <xf numFmtId="0" fontId="12" fillId="8" borderId="0" xfId="0" applyFont="1" applyFill="1" applyAlignment="1" applyProtection="1">
      <alignment vertical="center"/>
    </xf>
    <xf numFmtId="0" fontId="12" fillId="8" borderId="0" xfId="0" applyFont="1" applyFill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left" vertical="center"/>
    </xf>
    <xf numFmtId="0" fontId="48" fillId="8" borderId="1" xfId="0" applyFont="1" applyFill="1" applyBorder="1" applyAlignment="1" applyProtection="1">
      <alignment horizontal="center" vertical="center"/>
    </xf>
    <xf numFmtId="0" fontId="34" fillId="8" borderId="1" xfId="0" applyFont="1" applyFill="1" applyBorder="1" applyAlignment="1" applyProtection="1">
      <alignment vertical="center"/>
    </xf>
    <xf numFmtId="0" fontId="33" fillId="8" borderId="1" xfId="0" applyFont="1" applyFill="1" applyBorder="1" applyAlignment="1" applyProtection="1">
      <alignment vertical="center"/>
    </xf>
    <xf numFmtId="0" fontId="32" fillId="8" borderId="0" xfId="0" applyFont="1" applyFill="1" applyAlignment="1" applyProtection="1">
      <alignment vertical="center"/>
    </xf>
    <xf numFmtId="169" fontId="21" fillId="6" borderId="0" xfId="0" applyNumberFormat="1" applyFont="1" applyFill="1" applyAlignment="1" applyProtection="1">
      <alignment horizontal="center" vertical="center"/>
    </xf>
    <xf numFmtId="0" fontId="38" fillId="8" borderId="0" xfId="0" applyFont="1" applyFill="1" applyAlignment="1" applyProtection="1">
      <alignment horizontal="right" vertical="center"/>
    </xf>
    <xf numFmtId="169" fontId="21" fillId="8" borderId="0" xfId="0" applyNumberFormat="1" applyFont="1" applyFill="1" applyAlignment="1" applyProtection="1">
      <alignment horizontal="center" vertical="center"/>
    </xf>
    <xf numFmtId="1" fontId="12" fillId="7" borderId="0" xfId="0" applyNumberFormat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32" fillId="7" borderId="0" xfId="0" applyFont="1" applyFill="1" applyAlignment="1" applyProtection="1">
      <alignment horizontal="left" vertical="center"/>
    </xf>
    <xf numFmtId="0" fontId="49" fillId="10" borderId="0" xfId="0" applyFont="1" applyFill="1" applyAlignment="1" applyProtection="1">
      <alignment horizontal="center" vertical="center"/>
    </xf>
    <xf numFmtId="0" fontId="44" fillId="7" borderId="0" xfId="0" applyFont="1" applyFill="1" applyAlignment="1" applyProtection="1">
      <alignment vertical="center" wrapText="1"/>
    </xf>
    <xf numFmtId="0" fontId="36" fillId="7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vertical="center" wrapText="1"/>
    </xf>
    <xf numFmtId="0" fontId="3" fillId="7" borderId="0" xfId="0" applyFont="1" applyFill="1" applyAlignment="1" applyProtection="1">
      <alignment vertical="center" wrapText="1"/>
    </xf>
    <xf numFmtId="166" fontId="21" fillId="2" borderId="0" xfId="0" applyNumberFormat="1" applyFont="1" applyFill="1" applyAlignment="1" applyProtection="1">
      <alignment horizontal="center" vertical="center"/>
    </xf>
    <xf numFmtId="0" fontId="36" fillId="7" borderId="0" xfId="0" applyFont="1" applyFill="1" applyAlignment="1" applyProtection="1">
      <alignment vertical="center" wrapText="1"/>
    </xf>
    <xf numFmtId="0" fontId="5" fillId="7" borderId="0" xfId="0" applyFont="1" applyFill="1" applyAlignment="1" applyProtection="1">
      <alignment vertical="center" wrapText="1"/>
    </xf>
    <xf numFmtId="0" fontId="37" fillId="7" borderId="0" xfId="0" applyFont="1" applyFill="1" applyAlignment="1" applyProtection="1">
      <alignment vertical="center"/>
    </xf>
    <xf numFmtId="0" fontId="32" fillId="7" borderId="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43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4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2" borderId="12" xfId="0" applyNumberFormat="1" applyFont="1" applyFill="1" applyBorder="1" applyAlignment="1">
      <alignment vertical="center"/>
    </xf>
    <xf numFmtId="0" fontId="1" fillId="7" borderId="0" xfId="0" applyFont="1" applyFill="1" applyAlignment="1" applyProtection="1">
      <alignment vertical="center"/>
    </xf>
    <xf numFmtId="166" fontId="13" fillId="7" borderId="0" xfId="0" applyNumberFormat="1" applyFont="1" applyFill="1"/>
    <xf numFmtId="168" fontId="16" fillId="7" borderId="2" xfId="1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13" fillId="7" borderId="15" xfId="0" applyFont="1" applyFill="1" applyBorder="1"/>
    <xf numFmtId="9" fontId="3" fillId="7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8" fontId="47" fillId="0" borderId="11" xfId="1" applyNumberFormat="1" applyFont="1" applyFill="1" applyBorder="1" applyAlignment="1" applyProtection="1">
      <alignment horizontal="left" vertical="center"/>
    </xf>
    <xf numFmtId="168" fontId="47" fillId="0" borderId="13" xfId="1" applyNumberFormat="1" applyFont="1" applyFill="1" applyBorder="1" applyAlignment="1" applyProtection="1">
      <alignment horizontal="left" vertical="center"/>
    </xf>
    <xf numFmtId="168" fontId="47" fillId="7" borderId="0" xfId="1" applyNumberFormat="1" applyFont="1" applyFill="1" applyBorder="1" applyAlignment="1" applyProtection="1">
      <alignment horizontal="left" vertical="center"/>
    </xf>
    <xf numFmtId="0" fontId="42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2" fontId="22" fillId="7" borderId="0" xfId="0" applyNumberFormat="1" applyFont="1" applyFill="1" applyBorder="1" applyAlignment="1" applyProtection="1">
      <alignment horizontal="center" vertical="center"/>
    </xf>
    <xf numFmtId="0" fontId="42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vertical="center"/>
    </xf>
    <xf numFmtId="170" fontId="31" fillId="7" borderId="0" xfId="0" applyNumberFormat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vertical="center"/>
    </xf>
    <xf numFmtId="0" fontId="6" fillId="7" borderId="0" xfId="0" applyFont="1" applyFill="1" applyAlignment="1" applyProtection="1">
      <alignment horizontal="left" vertical="center" wrapText="1"/>
    </xf>
    <xf numFmtId="0" fontId="19" fillId="7" borderId="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left" vertical="center"/>
    </xf>
    <xf numFmtId="9" fontId="16" fillId="2" borderId="1" xfId="2" applyFont="1" applyFill="1" applyBorder="1" applyAlignment="1" applyProtection="1">
      <alignment horizontal="center" vertical="center"/>
    </xf>
    <xf numFmtId="9" fontId="22" fillId="7" borderId="1" xfId="2" applyFont="1" applyFill="1" applyBorder="1" applyAlignment="1" applyProtection="1">
      <alignment horizontal="center" vertical="center"/>
    </xf>
    <xf numFmtId="170" fontId="53" fillId="7" borderId="0" xfId="2" applyNumberFormat="1" applyFont="1" applyFill="1" applyBorder="1" applyAlignment="1" applyProtection="1">
      <alignment horizontal="center" vertical="center"/>
    </xf>
    <xf numFmtId="168" fontId="4" fillId="7" borderId="0" xfId="1" applyNumberFormat="1" applyFont="1" applyFill="1" applyAlignment="1" applyProtection="1">
      <alignment horizontal="center" vertical="center"/>
    </xf>
    <xf numFmtId="168" fontId="8" fillId="7" borderId="0" xfId="1" applyNumberFormat="1" applyFont="1" applyFill="1" applyAlignment="1" applyProtection="1">
      <alignment horizontal="center" vertical="center"/>
    </xf>
    <xf numFmtId="166" fontId="16" fillId="2" borderId="1" xfId="2" applyNumberFormat="1" applyFont="1" applyFill="1" applyBorder="1" applyAlignment="1" applyProtection="1">
      <alignment horizontal="center" vertical="center"/>
      <protection locked="0"/>
    </xf>
    <xf numFmtId="164" fontId="16" fillId="7" borderId="1" xfId="1" applyNumberFormat="1" applyFont="1" applyFill="1" applyBorder="1" applyAlignment="1">
      <alignment horizontal="center" vertical="center"/>
    </xf>
    <xf numFmtId="166" fontId="33" fillId="8" borderId="1" xfId="0" applyNumberFormat="1" applyFont="1" applyFill="1" applyBorder="1" applyAlignment="1" applyProtection="1">
      <alignment vertical="center"/>
    </xf>
    <xf numFmtId="166" fontId="16" fillId="7" borderId="0" xfId="0" applyNumberFormat="1" applyFont="1" applyFill="1" applyBorder="1" applyAlignment="1">
      <alignment horizontal="center" vertical="center"/>
    </xf>
    <xf numFmtId="171" fontId="16" fillId="7" borderId="1" xfId="1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/>
    <xf numFmtId="166" fontId="13" fillId="2" borderId="12" xfId="0" applyNumberFormat="1" applyFont="1" applyFill="1" applyBorder="1"/>
    <xf numFmtId="166" fontId="13" fillId="2" borderId="14" xfId="0" applyNumberFormat="1" applyFont="1" applyFill="1" applyBorder="1"/>
    <xf numFmtId="165" fontId="32" fillId="7" borderId="0" xfId="1" applyNumberFormat="1" applyFont="1" applyFill="1"/>
    <xf numFmtId="166" fontId="21" fillId="0" borderId="0" xfId="0" applyNumberFormat="1" applyFont="1" applyFill="1" applyAlignment="1" applyProtection="1">
      <alignment horizontal="center" vertical="center"/>
    </xf>
    <xf numFmtId="0" fontId="36" fillId="7" borderId="0" xfId="0" applyFont="1" applyFill="1"/>
    <xf numFmtId="10" fontId="36" fillId="7" borderId="0" xfId="2" applyNumberFormat="1" applyFont="1" applyFill="1"/>
    <xf numFmtId="166" fontId="12" fillId="7" borderId="0" xfId="0" applyNumberFormat="1" applyFont="1" applyFill="1" applyAlignment="1" applyProtection="1">
      <alignment vertical="center"/>
    </xf>
    <xf numFmtId="166" fontId="13" fillId="2" borderId="0" xfId="0" applyNumberFormat="1" applyFont="1" applyFill="1" applyBorder="1"/>
    <xf numFmtId="0" fontId="27" fillId="7" borderId="0" xfId="0" applyFont="1" applyFill="1"/>
    <xf numFmtId="166" fontId="27" fillId="7" borderId="0" xfId="0" applyNumberFormat="1" applyFont="1" applyFill="1" applyAlignment="1">
      <alignment horizontal="center" vertical="center"/>
    </xf>
    <xf numFmtId="166" fontId="27" fillId="7" borderId="0" xfId="0" applyNumberFormat="1" applyFont="1" applyFill="1"/>
    <xf numFmtId="166" fontId="35" fillId="0" borderId="1" xfId="0" applyNumberFormat="1" applyFont="1" applyFill="1" applyBorder="1" applyAlignment="1" applyProtection="1">
      <alignment horizontal="center" vertical="center"/>
    </xf>
    <xf numFmtId="1" fontId="12" fillId="7" borderId="0" xfId="0" applyNumberFormat="1" applyFont="1" applyFill="1" applyBorder="1" applyAlignment="1" applyProtection="1">
      <alignment vertical="center"/>
    </xf>
    <xf numFmtId="9" fontId="16" fillId="0" borderId="1" xfId="2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 wrapText="1"/>
    </xf>
    <xf numFmtId="0" fontId="5" fillId="7" borderId="0" xfId="0" applyFont="1" applyFill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166" fontId="19" fillId="0" borderId="2" xfId="0" applyNumberFormat="1" applyFont="1" applyBorder="1" applyAlignment="1" applyProtection="1">
      <alignment horizontal="center" vertical="center"/>
    </xf>
    <xf numFmtId="166" fontId="19" fillId="0" borderId="4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9" fillId="6" borderId="2" xfId="0" applyFont="1" applyFill="1" applyBorder="1" applyAlignment="1" applyProtection="1">
      <alignment horizontal="right" vertical="center"/>
    </xf>
    <xf numFmtId="0" fontId="19" fillId="6" borderId="4" xfId="0" applyFont="1" applyFill="1" applyBorder="1" applyAlignment="1" applyProtection="1">
      <alignment horizontal="right" vertical="center"/>
    </xf>
    <xf numFmtId="165" fontId="19" fillId="3" borderId="1" xfId="1" applyNumberFormat="1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right" vertical="center"/>
    </xf>
    <xf numFmtId="166" fontId="19" fillId="6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</xf>
    <xf numFmtId="166" fontId="19" fillId="6" borderId="2" xfId="0" applyNumberFormat="1" applyFont="1" applyFill="1" applyBorder="1" applyAlignment="1" applyProtection="1">
      <alignment horizontal="center" vertical="center"/>
    </xf>
    <xf numFmtId="166" fontId="19" fillId="6" borderId="4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3" fontId="16" fillId="0" borderId="1" xfId="0" applyNumberFormat="1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right" vertical="center"/>
    </xf>
    <xf numFmtId="0" fontId="19" fillId="6" borderId="10" xfId="0" applyFont="1" applyFill="1" applyBorder="1" applyAlignment="1" applyProtection="1">
      <alignment horizontal="right" vertical="center"/>
    </xf>
    <xf numFmtId="0" fontId="19" fillId="6" borderId="11" xfId="0" applyFont="1" applyFill="1" applyBorder="1" applyAlignment="1" applyProtection="1">
      <alignment horizontal="right" vertical="center"/>
    </xf>
    <xf numFmtId="0" fontId="19" fillId="6" borderId="12" xfId="0" applyFont="1" applyFill="1" applyBorder="1" applyAlignment="1" applyProtection="1">
      <alignment horizontal="right" vertical="center"/>
    </xf>
    <xf numFmtId="0" fontId="19" fillId="6" borderId="13" xfId="0" applyFont="1" applyFill="1" applyBorder="1" applyAlignment="1" applyProtection="1">
      <alignment horizontal="right" vertical="center"/>
    </xf>
    <xf numFmtId="0" fontId="19" fillId="6" borderId="14" xfId="0" applyFont="1" applyFill="1" applyBorder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horizontal="center" vertical="center"/>
    </xf>
    <xf numFmtId="9" fontId="16" fillId="0" borderId="1" xfId="2" applyFont="1" applyFill="1" applyBorder="1" applyAlignment="1" applyProtection="1">
      <alignment horizontal="center" vertical="center"/>
    </xf>
    <xf numFmtId="166" fontId="54" fillId="7" borderId="2" xfId="0" applyNumberFormat="1" applyFont="1" applyFill="1" applyBorder="1" applyAlignment="1">
      <alignment horizontal="center" vertical="center"/>
    </xf>
    <xf numFmtId="166" fontId="54" fillId="7" borderId="4" xfId="0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17" fillId="7" borderId="4" xfId="0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4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" fillId="7" borderId="0" xfId="0" applyFont="1" applyFill="1" applyAlignment="1" applyProtection="1">
      <alignment horizontal="left" vertical="center" wrapText="1"/>
    </xf>
    <xf numFmtId="0" fontId="6" fillId="7" borderId="0" xfId="0" applyFont="1" applyFill="1" applyAlignment="1" applyProtection="1">
      <alignment horizontal="left" vertical="center" wrapText="1"/>
    </xf>
    <xf numFmtId="0" fontId="36" fillId="7" borderId="0" xfId="0" applyFont="1" applyFill="1" applyAlignment="1" applyProtection="1">
      <alignment horizontal="left" vertical="center" wrapText="1"/>
    </xf>
    <xf numFmtId="0" fontId="37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left" vertical="center" wrapText="1"/>
    </xf>
    <xf numFmtId="0" fontId="52" fillId="11" borderId="0" xfId="0" applyFont="1" applyFill="1" applyBorder="1" applyAlignment="1" applyProtection="1">
      <alignment horizontal="center" vertical="center"/>
    </xf>
    <xf numFmtId="0" fontId="39" fillId="7" borderId="1" xfId="0" applyFont="1" applyFill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/>
    </xf>
    <xf numFmtId="0" fontId="39" fillId="7" borderId="2" xfId="0" applyFont="1" applyFill="1" applyBorder="1" applyAlignment="1" applyProtection="1">
      <alignment horizontal="center" vertical="center"/>
    </xf>
    <xf numFmtId="0" fontId="39" fillId="7" borderId="3" xfId="0" applyFont="1" applyFill="1" applyBorder="1" applyAlignment="1" applyProtection="1">
      <alignment horizontal="center" vertical="center"/>
    </xf>
    <xf numFmtId="0" fontId="39" fillId="7" borderId="4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0" fillId="8" borderId="0" xfId="0" applyFont="1" applyFill="1" applyAlignment="1" applyProtection="1">
      <alignment horizontal="left" vertical="center"/>
    </xf>
    <xf numFmtId="2" fontId="39" fillId="8" borderId="1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left" vertical="center"/>
    </xf>
    <xf numFmtId="2" fontId="39" fillId="7" borderId="8" xfId="0" applyNumberFormat="1" applyFont="1" applyFill="1" applyBorder="1" applyAlignment="1" applyProtection="1">
      <alignment horizontal="center" vertical="center"/>
    </xf>
    <xf numFmtId="0" fontId="39" fillId="7" borderId="9" xfId="0" applyFont="1" applyFill="1" applyBorder="1" applyAlignment="1" applyProtection="1">
      <alignment horizontal="center" vertical="center"/>
    </xf>
    <xf numFmtId="0" fontId="39" fillId="7" borderId="10" xfId="0" applyFont="1" applyFill="1" applyBorder="1" applyAlignment="1" applyProtection="1">
      <alignment horizontal="center" vertical="center"/>
    </xf>
    <xf numFmtId="0" fontId="33" fillId="7" borderId="8" xfId="0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/>
    </xf>
    <xf numFmtId="0" fontId="33" fillId="7" borderId="10" xfId="0" applyFont="1" applyFill="1" applyBorder="1" applyAlignment="1" applyProtection="1">
      <alignment horizontal="center" vertical="center"/>
    </xf>
    <xf numFmtId="0" fontId="33" fillId="7" borderId="11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0" fontId="33" fillId="7" borderId="1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6</xdr:row>
      <xdr:rowOff>38100</xdr:rowOff>
    </xdr:from>
    <xdr:to>
      <xdr:col>10</xdr:col>
      <xdr:colOff>662940</xdr:colOff>
      <xdr:row>9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9130" y="1089660"/>
          <a:ext cx="2167890" cy="441960"/>
        </a:xfrm>
        <a:prstGeom prst="rect">
          <a:avLst/>
        </a:prstGeom>
        <a:noFill/>
      </xdr:spPr>
    </xdr:pic>
    <xdr:clientData/>
  </xdr:twoCellAnchor>
  <xdr:twoCellAnchor>
    <xdr:from>
      <xdr:col>8</xdr:col>
      <xdr:colOff>765810</xdr:colOff>
      <xdr:row>3</xdr:row>
      <xdr:rowOff>3811</xdr:rowOff>
    </xdr:from>
    <xdr:to>
      <xdr:col>9</xdr:col>
      <xdr:colOff>316065</xdr:colOff>
      <xdr:row>5</xdr:row>
      <xdr:rowOff>144469</xdr:rowOff>
    </xdr:to>
    <xdr:sp macro="" textlink="">
      <xdr:nvSpPr>
        <xdr:cNvPr id="4" name="Right Arrow 3"/>
        <xdr:cNvSpPr/>
      </xdr:nvSpPr>
      <xdr:spPr>
        <a:xfrm rot="5400000">
          <a:off x="9035489" y="443792"/>
          <a:ext cx="491178" cy="662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85725</xdr:colOff>
      <xdr:row>0</xdr:row>
      <xdr:rowOff>152400</xdr:rowOff>
    </xdr:from>
    <xdr:to>
      <xdr:col>5</xdr:col>
      <xdr:colOff>925573</xdr:colOff>
      <xdr:row>4</xdr:row>
      <xdr:rowOff>115037</xdr:rowOff>
    </xdr:to>
    <xdr:pic>
      <xdr:nvPicPr>
        <xdr:cNvPr id="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152400"/>
          <a:ext cx="4640323" cy="686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36810</xdr:colOff>
      <xdr:row>19</xdr:row>
      <xdr:rowOff>172553</xdr:rowOff>
    </xdr:from>
    <xdr:to>
      <xdr:col>16</xdr:col>
      <xdr:colOff>512233</xdr:colOff>
      <xdr:row>21</xdr:row>
      <xdr:rowOff>31750</xdr:rowOff>
    </xdr:to>
    <xdr:sp macro="" textlink="">
      <xdr:nvSpPr>
        <xdr:cNvPr id="3" name="Right Arrow 2"/>
        <xdr:cNvSpPr/>
      </xdr:nvSpPr>
      <xdr:spPr>
        <a:xfrm rot="10800000">
          <a:off x="11043477" y="3485136"/>
          <a:ext cx="475423" cy="29311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447261</xdr:colOff>
      <xdr:row>20</xdr:row>
      <xdr:rowOff>8965</xdr:rowOff>
    </xdr:from>
    <xdr:to>
      <xdr:col>16</xdr:col>
      <xdr:colOff>1</xdr:colOff>
      <xdr:row>21</xdr:row>
      <xdr:rowOff>8965</xdr:rowOff>
    </xdr:to>
    <xdr:sp macro="" textlink="">
      <xdr:nvSpPr>
        <xdr:cNvPr id="4" name="Rectangle 3"/>
        <xdr:cNvSpPr/>
      </xdr:nvSpPr>
      <xdr:spPr>
        <a:xfrm>
          <a:off x="10873214" y="3666565"/>
          <a:ext cx="906411" cy="2241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430695</xdr:colOff>
      <xdr:row>12</xdr:row>
      <xdr:rowOff>157372</xdr:rowOff>
    </xdr:from>
    <xdr:to>
      <xdr:col>3</xdr:col>
      <xdr:colOff>771525</xdr:colOff>
      <xdr:row>15</xdr:row>
      <xdr:rowOff>9528</xdr:rowOff>
    </xdr:to>
    <xdr:sp macro="" textlink="">
      <xdr:nvSpPr>
        <xdr:cNvPr id="7" name="Right Arrow 6"/>
        <xdr:cNvSpPr/>
      </xdr:nvSpPr>
      <xdr:spPr>
        <a:xfrm rot="5400000">
          <a:off x="1565619" y="2289523"/>
          <a:ext cx="395081" cy="34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63269</xdr:colOff>
      <xdr:row>30</xdr:row>
      <xdr:rowOff>135559</xdr:rowOff>
    </xdr:from>
    <xdr:to>
      <xdr:col>17</xdr:col>
      <xdr:colOff>105833</xdr:colOff>
      <xdr:row>32</xdr:row>
      <xdr:rowOff>21166</xdr:rowOff>
    </xdr:to>
    <xdr:sp macro="" textlink="">
      <xdr:nvSpPr>
        <xdr:cNvPr id="8" name="Right Arrow 7"/>
        <xdr:cNvSpPr/>
      </xdr:nvSpPr>
      <xdr:spPr>
        <a:xfrm rot="10800000">
          <a:off x="11069936" y="5797642"/>
          <a:ext cx="571730" cy="3195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255943</xdr:colOff>
      <xdr:row>9</xdr:row>
      <xdr:rowOff>107674</xdr:rowOff>
    </xdr:from>
    <xdr:to>
      <xdr:col>4</xdr:col>
      <xdr:colOff>657225</xdr:colOff>
      <xdr:row>12</xdr:row>
      <xdr:rowOff>173935</xdr:rowOff>
    </xdr:to>
    <xdr:sp macro="" textlink="">
      <xdr:nvSpPr>
        <xdr:cNvPr id="9" name="TextBox 8"/>
        <xdr:cNvSpPr txBox="1"/>
      </xdr:nvSpPr>
      <xdr:spPr>
        <a:xfrm>
          <a:off x="913168" y="1669774"/>
          <a:ext cx="1830032" cy="609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1. Reference for LCRB</a:t>
          </a:r>
        </a:p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2. Base rate component for ERC filing</a:t>
          </a:r>
        </a:p>
      </xdr:txBody>
    </xdr:sp>
    <xdr:clientData/>
  </xdr:twoCellAnchor>
  <xdr:twoCellAnchor>
    <xdr:from>
      <xdr:col>17</xdr:col>
      <xdr:colOff>127127</xdr:colOff>
      <xdr:row>29</xdr:row>
      <xdr:rowOff>134470</xdr:rowOff>
    </xdr:from>
    <xdr:to>
      <xdr:col>19</xdr:col>
      <xdr:colOff>311151</xdr:colOff>
      <xdr:row>32</xdr:row>
      <xdr:rowOff>94378</xdr:rowOff>
    </xdr:to>
    <xdr:sp macro="" textlink="">
      <xdr:nvSpPr>
        <xdr:cNvPr id="10" name="TextBox 9"/>
        <xdr:cNvSpPr txBox="1"/>
      </xdr:nvSpPr>
      <xdr:spPr>
        <a:xfrm>
          <a:off x="12677715" y="5934635"/>
          <a:ext cx="1591483" cy="38124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Reference for the</a:t>
          </a:r>
          <a:r>
            <a:rPr lang="en-US" sz="1050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Price CAP and </a:t>
          </a:r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LCB</a:t>
          </a:r>
        </a:p>
      </xdr:txBody>
    </xdr:sp>
    <xdr:clientData/>
  </xdr:twoCellAnchor>
  <xdr:twoCellAnchor>
    <xdr:from>
      <xdr:col>16</xdr:col>
      <xdr:colOff>538256</xdr:colOff>
      <xdr:row>18</xdr:row>
      <xdr:rowOff>98611</xdr:rowOff>
    </xdr:from>
    <xdr:to>
      <xdr:col>19</xdr:col>
      <xdr:colOff>315259</xdr:colOff>
      <xdr:row>21</xdr:row>
      <xdr:rowOff>88651</xdr:rowOff>
    </xdr:to>
    <xdr:sp macro="" textlink="">
      <xdr:nvSpPr>
        <xdr:cNvPr id="11" name="TextBox 10"/>
        <xdr:cNvSpPr txBox="1"/>
      </xdr:nvSpPr>
      <xdr:spPr>
        <a:xfrm>
          <a:off x="12541997" y="3361764"/>
          <a:ext cx="1731309" cy="411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Fixed rate as indicated in PSA subject to PPD </a:t>
          </a:r>
        </a:p>
      </xdr:txBody>
    </xdr:sp>
    <xdr:clientData/>
  </xdr:twoCellAnchor>
  <xdr:twoCellAnchor>
    <xdr:from>
      <xdr:col>14</xdr:col>
      <xdr:colOff>457200</xdr:colOff>
      <xdr:row>30</xdr:row>
      <xdr:rowOff>179917</xdr:rowOff>
    </xdr:from>
    <xdr:to>
      <xdr:col>16</xdr:col>
      <xdr:colOff>19050</xdr:colOff>
      <xdr:row>32</xdr:row>
      <xdr:rowOff>0</xdr:rowOff>
    </xdr:to>
    <xdr:sp macro="" textlink="">
      <xdr:nvSpPr>
        <xdr:cNvPr id="13" name="Rectangle 12"/>
        <xdr:cNvSpPr/>
      </xdr:nvSpPr>
      <xdr:spPr>
        <a:xfrm>
          <a:off x="10151533" y="5842000"/>
          <a:ext cx="874184" cy="254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6</xdr:col>
      <xdr:colOff>680507</xdr:colOff>
      <xdr:row>0</xdr:row>
      <xdr:rowOff>59267</xdr:rowOff>
    </xdr:from>
    <xdr:to>
      <xdr:col>13</xdr:col>
      <xdr:colOff>453561</xdr:colOff>
      <xdr:row>4</xdr:row>
      <xdr:rowOff>154781</xdr:rowOff>
    </xdr:to>
    <xdr:pic>
      <xdr:nvPicPr>
        <xdr:cNvPr id="1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7632" y="59267"/>
          <a:ext cx="5511867" cy="809889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64246</xdr:colOff>
      <xdr:row>17</xdr:row>
      <xdr:rowOff>29260</xdr:rowOff>
    </xdr:from>
    <xdr:to>
      <xdr:col>22</xdr:col>
      <xdr:colOff>573740</xdr:colOff>
      <xdr:row>18</xdr:row>
      <xdr:rowOff>161365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49822" y="3095189"/>
          <a:ext cx="1764553" cy="3293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36810</xdr:colOff>
      <xdr:row>19</xdr:row>
      <xdr:rowOff>172553</xdr:rowOff>
    </xdr:from>
    <xdr:to>
      <xdr:col>16</xdr:col>
      <xdr:colOff>512233</xdr:colOff>
      <xdr:row>21</xdr:row>
      <xdr:rowOff>31750</xdr:rowOff>
    </xdr:to>
    <xdr:sp macro="" textlink="">
      <xdr:nvSpPr>
        <xdr:cNvPr id="2" name="Right Arrow 1"/>
        <xdr:cNvSpPr/>
      </xdr:nvSpPr>
      <xdr:spPr>
        <a:xfrm rot="10800000">
          <a:off x="12053550" y="3593933"/>
          <a:ext cx="475423" cy="2782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447261</xdr:colOff>
      <xdr:row>20</xdr:row>
      <xdr:rowOff>8965</xdr:rowOff>
    </xdr:from>
    <xdr:to>
      <xdr:col>16</xdr:col>
      <xdr:colOff>1</xdr:colOff>
      <xdr:row>21</xdr:row>
      <xdr:rowOff>8965</xdr:rowOff>
    </xdr:to>
    <xdr:sp macro="" textlink="">
      <xdr:nvSpPr>
        <xdr:cNvPr id="3" name="Rectangle 2"/>
        <xdr:cNvSpPr/>
      </xdr:nvSpPr>
      <xdr:spPr>
        <a:xfrm>
          <a:off x="11115261" y="3628465"/>
          <a:ext cx="901480" cy="220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430695</xdr:colOff>
      <xdr:row>12</xdr:row>
      <xdr:rowOff>157372</xdr:rowOff>
    </xdr:from>
    <xdr:to>
      <xdr:col>3</xdr:col>
      <xdr:colOff>771525</xdr:colOff>
      <xdr:row>15</xdr:row>
      <xdr:rowOff>9528</xdr:rowOff>
    </xdr:to>
    <xdr:sp macro="" textlink="">
      <xdr:nvSpPr>
        <xdr:cNvPr id="4" name="Right Arrow 3"/>
        <xdr:cNvSpPr/>
      </xdr:nvSpPr>
      <xdr:spPr>
        <a:xfrm rot="5400000">
          <a:off x="1574192" y="2252375"/>
          <a:ext cx="446516" cy="34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255943</xdr:colOff>
      <xdr:row>9</xdr:row>
      <xdr:rowOff>107674</xdr:rowOff>
    </xdr:from>
    <xdr:to>
      <xdr:col>4</xdr:col>
      <xdr:colOff>657225</xdr:colOff>
      <xdr:row>12</xdr:row>
      <xdr:rowOff>173935</xdr:rowOff>
    </xdr:to>
    <xdr:sp macro="" textlink="">
      <xdr:nvSpPr>
        <xdr:cNvPr id="6" name="TextBox 5"/>
        <xdr:cNvSpPr txBox="1"/>
      </xdr:nvSpPr>
      <xdr:spPr>
        <a:xfrm>
          <a:off x="934123" y="1624054"/>
          <a:ext cx="1871942" cy="5920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1. Reference for LCRB</a:t>
          </a:r>
        </a:p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2. Base rate component for ERC filing</a:t>
          </a:r>
        </a:p>
      </xdr:txBody>
    </xdr:sp>
    <xdr:clientData/>
  </xdr:twoCellAnchor>
  <xdr:twoCellAnchor>
    <xdr:from>
      <xdr:col>16</xdr:col>
      <xdr:colOff>533773</xdr:colOff>
      <xdr:row>18</xdr:row>
      <xdr:rowOff>110066</xdr:rowOff>
    </xdr:from>
    <xdr:to>
      <xdr:col>19</xdr:col>
      <xdr:colOff>307290</xdr:colOff>
      <xdr:row>21</xdr:row>
      <xdr:rowOff>102596</xdr:rowOff>
    </xdr:to>
    <xdr:sp macro="" textlink="">
      <xdr:nvSpPr>
        <xdr:cNvPr id="8" name="TextBox 7"/>
        <xdr:cNvSpPr txBox="1"/>
      </xdr:nvSpPr>
      <xdr:spPr>
        <a:xfrm>
          <a:off x="12573373" y="3361266"/>
          <a:ext cx="1729317" cy="407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Fixed rate as indicated in PSA subject to PPD </a:t>
          </a:r>
        </a:p>
      </xdr:txBody>
    </xdr:sp>
    <xdr:clientData/>
  </xdr:twoCellAnchor>
  <xdr:twoCellAnchor>
    <xdr:from>
      <xdr:col>14</xdr:col>
      <xdr:colOff>447260</xdr:colOff>
      <xdr:row>35</xdr:row>
      <xdr:rowOff>10583</xdr:rowOff>
    </xdr:from>
    <xdr:to>
      <xdr:col>16</xdr:col>
      <xdr:colOff>10583</xdr:colOff>
      <xdr:row>35</xdr:row>
      <xdr:rowOff>232833</xdr:rowOff>
    </xdr:to>
    <xdr:sp macro="" textlink="">
      <xdr:nvSpPr>
        <xdr:cNvPr id="9" name="Rectangle 8"/>
        <xdr:cNvSpPr/>
      </xdr:nvSpPr>
      <xdr:spPr>
        <a:xfrm>
          <a:off x="11115260" y="9337463"/>
          <a:ext cx="912063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6</xdr:col>
      <xdr:colOff>680507</xdr:colOff>
      <xdr:row>0</xdr:row>
      <xdr:rowOff>59267</xdr:rowOff>
    </xdr:from>
    <xdr:to>
      <xdr:col>13</xdr:col>
      <xdr:colOff>590721</xdr:colOff>
      <xdr:row>4</xdr:row>
      <xdr:rowOff>154781</xdr:rowOff>
    </xdr:to>
    <xdr:pic>
      <xdr:nvPicPr>
        <xdr:cNvPr id="11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4787" y="59267"/>
          <a:ext cx="5655694" cy="796554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42332</xdr:colOff>
      <xdr:row>34</xdr:row>
      <xdr:rowOff>116417</xdr:rowOff>
    </xdr:from>
    <xdr:to>
      <xdr:col>17</xdr:col>
      <xdr:colOff>158749</xdr:colOff>
      <xdr:row>36</xdr:row>
      <xdr:rowOff>31750</xdr:rowOff>
    </xdr:to>
    <xdr:sp macro="" textlink="">
      <xdr:nvSpPr>
        <xdr:cNvPr id="12" name="Right Arrow 11"/>
        <xdr:cNvSpPr/>
      </xdr:nvSpPr>
      <xdr:spPr>
        <a:xfrm rot="10800000">
          <a:off x="12059072" y="9326880"/>
          <a:ext cx="665057" cy="2679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176555</xdr:colOff>
      <xdr:row>33</xdr:row>
      <xdr:rowOff>35860</xdr:rowOff>
    </xdr:from>
    <xdr:to>
      <xdr:col>19</xdr:col>
      <xdr:colOff>385481</xdr:colOff>
      <xdr:row>36</xdr:row>
      <xdr:rowOff>170330</xdr:rowOff>
    </xdr:to>
    <xdr:sp macro="" textlink="">
      <xdr:nvSpPr>
        <xdr:cNvPr id="13" name="TextBox 12"/>
        <xdr:cNvSpPr txBox="1"/>
      </xdr:nvSpPr>
      <xdr:spPr>
        <a:xfrm>
          <a:off x="12741935" y="9187480"/>
          <a:ext cx="1611006" cy="545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Reference for the</a:t>
          </a:r>
          <a:r>
            <a:rPr lang="en-US" sz="1050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Price CAP and </a:t>
          </a:r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LCB</a:t>
          </a:r>
        </a:p>
      </xdr:txBody>
    </xdr:sp>
    <xdr:clientData/>
  </xdr:twoCellAnchor>
  <xdr:twoCellAnchor editAs="oneCell">
    <xdr:from>
      <xdr:col>20</xdr:col>
      <xdr:colOff>33868</xdr:colOff>
      <xdr:row>17</xdr:row>
      <xdr:rowOff>40218</xdr:rowOff>
    </xdr:from>
    <xdr:to>
      <xdr:col>22</xdr:col>
      <xdr:colOff>567266</xdr:colOff>
      <xdr:row>18</xdr:row>
      <xdr:rowOff>152401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55801" y="3096685"/>
          <a:ext cx="1786465" cy="30691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447261</xdr:colOff>
      <xdr:row>16</xdr:row>
      <xdr:rowOff>0</xdr:rowOff>
    </xdr:from>
    <xdr:to>
      <xdr:col>16</xdr:col>
      <xdr:colOff>1</xdr:colOff>
      <xdr:row>17</xdr:row>
      <xdr:rowOff>0</xdr:rowOff>
    </xdr:to>
    <xdr:sp macro="" textlink="">
      <xdr:nvSpPr>
        <xdr:cNvPr id="3" name="Rectangle 2"/>
        <xdr:cNvSpPr/>
      </xdr:nvSpPr>
      <xdr:spPr>
        <a:xfrm>
          <a:off x="10610436" y="3705225"/>
          <a:ext cx="86719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447261</xdr:colOff>
      <xdr:row>16</xdr:row>
      <xdr:rowOff>0</xdr:rowOff>
    </xdr:from>
    <xdr:to>
      <xdr:col>16</xdr:col>
      <xdr:colOff>1</xdr:colOff>
      <xdr:row>17</xdr:row>
      <xdr:rowOff>0</xdr:rowOff>
    </xdr:to>
    <xdr:sp macro="" textlink="">
      <xdr:nvSpPr>
        <xdr:cNvPr id="15" name="Rectangle 14"/>
        <xdr:cNvSpPr/>
      </xdr:nvSpPr>
      <xdr:spPr>
        <a:xfrm>
          <a:off x="9753186" y="3343275"/>
          <a:ext cx="86719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7:AB71"/>
  <sheetViews>
    <sheetView showGridLines="0" tabSelected="1" zoomScale="115" zoomScaleNormal="115" workbookViewId="0">
      <selection activeCell="D78" sqref="D78"/>
    </sheetView>
  </sheetViews>
  <sheetFormatPr defaultColWidth="9.109375" defaultRowHeight="13.8" x14ac:dyDescent="0.3"/>
  <cols>
    <col min="1" max="1" width="7" style="44" customWidth="1"/>
    <col min="2" max="3" width="16" style="44" customWidth="1"/>
    <col min="4" max="4" width="25.5546875" style="44" customWidth="1"/>
    <col min="5" max="5" width="15.44140625" style="44" customWidth="1"/>
    <col min="6" max="6" width="15.5546875" style="44" customWidth="1"/>
    <col min="7" max="8" width="11.88671875" style="44" customWidth="1"/>
    <col min="9" max="9" width="16.21875" style="44" customWidth="1"/>
    <col min="10" max="10" width="7.109375" style="44" customWidth="1"/>
    <col min="11" max="11" width="11.109375" style="44" customWidth="1"/>
    <col min="12" max="12" width="6.33203125" style="44" customWidth="1"/>
    <col min="13" max="13" width="15" style="44" customWidth="1"/>
    <col min="14" max="14" width="14.44140625" style="44" customWidth="1"/>
    <col min="15" max="15" width="11.33203125" style="44" customWidth="1"/>
    <col min="16" max="16" width="12.33203125" style="44" customWidth="1"/>
    <col min="17" max="17" width="14.33203125" style="44" customWidth="1"/>
    <col min="18" max="18" width="12.6640625" style="44" customWidth="1"/>
    <col min="19" max="19" width="16.109375" style="44" bestFit="1" customWidth="1"/>
    <col min="20" max="20" width="12.5546875" style="44" customWidth="1"/>
    <col min="21" max="21" width="11.5546875" style="44" bestFit="1" customWidth="1"/>
    <col min="22" max="22" width="13.5546875" style="44" customWidth="1"/>
    <col min="23" max="23" width="16.109375" style="44" bestFit="1" customWidth="1"/>
    <col min="24" max="24" width="12.44140625" style="44" customWidth="1"/>
    <col min="25" max="25" width="16.88671875" style="44" bestFit="1" customWidth="1"/>
    <col min="26" max="26" width="14.5546875" style="44" customWidth="1"/>
    <col min="27" max="27" width="16.5546875" style="44" bestFit="1" customWidth="1"/>
    <col min="28" max="28" width="10.33203125" style="44" bestFit="1" customWidth="1"/>
    <col min="29" max="16384" width="9.109375" style="44"/>
  </cols>
  <sheetData>
    <row r="7" spans="1:24" ht="26.25" customHeight="1" x14ac:dyDescent="0.3">
      <c r="B7" s="283" t="s">
        <v>27</v>
      </c>
      <c r="C7" s="283"/>
      <c r="D7" s="283"/>
      <c r="E7" s="283"/>
      <c r="F7" s="283"/>
      <c r="G7" s="283"/>
      <c r="H7" s="45"/>
      <c r="I7" s="133"/>
      <c r="J7" s="133"/>
      <c r="K7" s="133"/>
      <c r="P7" s="45"/>
      <c r="Q7" s="45"/>
      <c r="R7" s="45"/>
      <c r="S7" s="45"/>
      <c r="T7" s="45"/>
      <c r="U7" s="45"/>
    </row>
    <row r="8" spans="1:24" ht="21.75" hidden="1" customHeight="1" x14ac:dyDescent="0.3">
      <c r="B8" s="46" t="s">
        <v>0</v>
      </c>
      <c r="C8" s="47" t="s">
        <v>1</v>
      </c>
      <c r="E8" s="48" t="s">
        <v>2</v>
      </c>
      <c r="I8" s="133"/>
      <c r="J8" s="133"/>
      <c r="K8" s="133"/>
      <c r="P8" s="45"/>
      <c r="Q8" s="45"/>
      <c r="R8" s="45"/>
      <c r="S8" s="45"/>
      <c r="T8" s="45"/>
      <c r="U8" s="45"/>
    </row>
    <row r="9" spans="1:24" ht="20.25" hidden="1" customHeight="1" x14ac:dyDescent="0.3">
      <c r="B9" s="49">
        <f>F31</f>
        <v>0</v>
      </c>
      <c r="C9" s="50" t="e">
        <f>LCOE!U19</f>
        <v>#N/A</v>
      </c>
      <c r="E9" s="49">
        <f>F31*(1-E37)-E38</f>
        <v>0</v>
      </c>
      <c r="F9" s="45"/>
      <c r="G9" s="45"/>
      <c r="H9" s="45"/>
      <c r="I9" s="133"/>
      <c r="J9" s="133"/>
      <c r="K9" s="133"/>
      <c r="P9" s="45"/>
      <c r="Q9" s="45"/>
      <c r="R9" s="45"/>
      <c r="S9" s="45"/>
      <c r="T9" s="45"/>
      <c r="U9" s="45"/>
    </row>
    <row r="10" spans="1:24" s="52" customFormat="1" x14ac:dyDescent="0.3">
      <c r="A10" s="44"/>
      <c r="B10" s="45"/>
      <c r="C10" s="45"/>
      <c r="D10" s="45"/>
      <c r="E10" s="45"/>
      <c r="F10" s="45"/>
      <c r="G10" s="45"/>
      <c r="H10" s="51"/>
      <c r="I10" s="134"/>
      <c r="J10" s="134"/>
      <c r="K10" s="134"/>
      <c r="P10" s="51"/>
      <c r="Q10" s="51"/>
      <c r="R10" s="51"/>
      <c r="S10" s="51"/>
      <c r="T10" s="51"/>
      <c r="U10" s="51"/>
    </row>
    <row r="11" spans="1:24" s="52" customFormat="1" ht="17.399999999999999" x14ac:dyDescent="0.3">
      <c r="A11" s="44"/>
      <c r="B11" s="53" t="s">
        <v>33</v>
      </c>
      <c r="C11" s="45"/>
      <c r="D11" s="45"/>
      <c r="E11" s="45"/>
      <c r="F11" s="45"/>
      <c r="G11" s="45"/>
      <c r="H11" s="51"/>
      <c r="I11" s="120"/>
      <c r="P11" s="51"/>
      <c r="Q11" s="51"/>
      <c r="R11" s="51"/>
      <c r="S11" s="51"/>
      <c r="T11" s="51"/>
      <c r="U11" s="51"/>
    </row>
    <row r="12" spans="1:24" s="52" customFormat="1" x14ac:dyDescent="0.3">
      <c r="A12" s="44"/>
      <c r="B12" s="45"/>
      <c r="C12" s="45"/>
      <c r="D12" s="45"/>
      <c r="E12" s="45"/>
      <c r="F12" s="45"/>
      <c r="G12" s="45"/>
      <c r="H12" s="54"/>
      <c r="I12" s="282" t="s">
        <v>112</v>
      </c>
      <c r="J12" s="282"/>
      <c r="K12" s="119" t="s">
        <v>113</v>
      </c>
      <c r="L12" s="55"/>
      <c r="M12" s="55"/>
      <c r="N12" s="55"/>
      <c r="O12" s="55"/>
      <c r="P12" s="51"/>
      <c r="Q12" s="51"/>
      <c r="R12" s="51"/>
      <c r="S12" s="51"/>
      <c r="T12" s="51"/>
      <c r="U12" s="51"/>
      <c r="V12" s="55"/>
      <c r="W12" s="55"/>
      <c r="X12" s="55"/>
    </row>
    <row r="13" spans="1:24" s="52" customFormat="1" x14ac:dyDescent="0.3">
      <c r="A13" s="44"/>
      <c r="B13" s="266" t="s">
        <v>3</v>
      </c>
      <c r="C13" s="266"/>
      <c r="D13" s="266"/>
      <c r="E13" s="266"/>
      <c r="F13" s="274">
        <f>data!$E$16</f>
        <v>18</v>
      </c>
      <c r="G13" s="274"/>
      <c r="H13" s="56"/>
      <c r="I13" s="56"/>
      <c r="J13" s="56"/>
      <c r="K13" s="56"/>
      <c r="L13" s="57"/>
      <c r="M13" s="57"/>
      <c r="N13" s="242"/>
      <c r="O13" s="242"/>
      <c r="P13" s="265"/>
      <c r="Q13" s="265"/>
      <c r="R13" s="265"/>
      <c r="S13" s="55"/>
      <c r="T13" s="242"/>
      <c r="U13" s="265"/>
      <c r="V13" s="265"/>
      <c r="W13" s="265"/>
      <c r="X13" s="55"/>
    </row>
    <row r="14" spans="1:24" s="52" customFormat="1" x14ac:dyDescent="0.3">
      <c r="A14" s="44"/>
      <c r="B14" s="266" t="s">
        <v>5</v>
      </c>
      <c r="C14" s="266"/>
      <c r="D14" s="266"/>
      <c r="E14" s="266"/>
      <c r="F14" s="284">
        <v>1</v>
      </c>
      <c r="G14" s="284"/>
      <c r="H14" s="58"/>
      <c r="I14" s="135" t="s">
        <v>109</v>
      </c>
      <c r="J14" s="121"/>
      <c r="K14" s="121"/>
      <c r="L14" s="122"/>
      <c r="M14" s="122"/>
      <c r="N14" s="124"/>
      <c r="O14" s="125"/>
      <c r="P14" s="273"/>
      <c r="Q14" s="273"/>
      <c r="R14" s="273"/>
      <c r="S14" s="55"/>
      <c r="T14" s="59"/>
      <c r="U14" s="273"/>
      <c r="V14" s="273"/>
      <c r="W14" s="273"/>
      <c r="X14" s="55"/>
    </row>
    <row r="15" spans="1:24" s="52" customFormat="1" x14ac:dyDescent="0.3">
      <c r="A15" s="44"/>
      <c r="B15" s="266" t="s">
        <v>6</v>
      </c>
      <c r="C15" s="266"/>
      <c r="D15" s="266"/>
      <c r="E15" s="266"/>
      <c r="F15" s="274">
        <f>F13*1000*F14*8760</f>
        <v>157680000</v>
      </c>
      <c r="G15" s="274"/>
      <c r="H15" s="60"/>
      <c r="I15" s="136" t="s">
        <v>110</v>
      </c>
      <c r="J15" s="123"/>
      <c r="K15" s="123"/>
      <c r="L15" s="117"/>
      <c r="M15" s="117"/>
      <c r="N15" s="126"/>
      <c r="O15" s="127"/>
      <c r="P15" s="273"/>
      <c r="Q15" s="273"/>
      <c r="R15" s="273"/>
      <c r="S15" s="55"/>
      <c r="T15" s="59"/>
      <c r="U15" s="273"/>
      <c r="V15" s="273"/>
      <c r="W15" s="273"/>
      <c r="X15" s="55"/>
    </row>
    <row r="16" spans="1:24" s="52" customFormat="1" x14ac:dyDescent="0.3">
      <c r="A16" s="44"/>
      <c r="B16" s="275" t="s">
        <v>8</v>
      </c>
      <c r="C16" s="276"/>
      <c r="D16" s="281" t="s">
        <v>42</v>
      </c>
      <c r="E16" s="281"/>
      <c r="F16" s="274">
        <v>360</v>
      </c>
      <c r="G16" s="274"/>
      <c r="H16" s="45"/>
      <c r="I16" s="136" t="s">
        <v>111</v>
      </c>
      <c r="J16" s="117"/>
      <c r="K16" s="117"/>
      <c r="L16" s="117"/>
      <c r="M16" s="117"/>
      <c r="N16" s="126"/>
      <c r="O16" s="127"/>
      <c r="P16" s="273"/>
      <c r="Q16" s="273"/>
      <c r="R16" s="273"/>
      <c r="S16" s="55"/>
      <c r="T16" s="59"/>
      <c r="U16" s="273"/>
      <c r="V16" s="273"/>
      <c r="W16" s="273"/>
      <c r="X16" s="55"/>
    </row>
    <row r="17" spans="1:24" s="52" customFormat="1" x14ac:dyDescent="0.3">
      <c r="A17" s="44"/>
      <c r="B17" s="277"/>
      <c r="C17" s="278"/>
      <c r="D17" s="281" t="s">
        <v>43</v>
      </c>
      <c r="E17" s="281"/>
      <c r="F17" s="274">
        <v>360</v>
      </c>
      <c r="G17" s="274"/>
      <c r="H17" s="45"/>
      <c r="I17" s="136" t="s">
        <v>140</v>
      </c>
      <c r="J17" s="117"/>
      <c r="K17" s="117"/>
      <c r="L17" s="117"/>
      <c r="M17" s="117"/>
      <c r="N17" s="126"/>
      <c r="O17" s="127"/>
      <c r="P17" s="273"/>
      <c r="Q17" s="273"/>
      <c r="R17" s="273"/>
      <c r="S17" s="55"/>
      <c r="T17" s="59"/>
      <c r="U17" s="273"/>
      <c r="V17" s="273"/>
      <c r="W17" s="273"/>
      <c r="X17" s="55"/>
    </row>
    <row r="18" spans="1:24" s="52" customFormat="1" x14ac:dyDescent="0.3">
      <c r="A18" s="44"/>
      <c r="B18" s="277"/>
      <c r="C18" s="278"/>
      <c r="D18" s="263" t="s">
        <v>44</v>
      </c>
      <c r="E18" s="263"/>
      <c r="F18" s="274">
        <f>SUM(F16:G17)</f>
        <v>720</v>
      </c>
      <c r="G18" s="274"/>
      <c r="H18" s="45"/>
      <c r="I18" s="136" t="s">
        <v>141</v>
      </c>
      <c r="J18" s="117"/>
      <c r="K18" s="117"/>
      <c r="L18" s="117"/>
      <c r="M18" s="117"/>
      <c r="N18" s="126"/>
      <c r="O18" s="128"/>
      <c r="P18" s="273"/>
      <c r="Q18" s="273"/>
      <c r="R18" s="273"/>
      <c r="S18" s="55"/>
      <c r="T18" s="59"/>
      <c r="U18" s="273"/>
      <c r="V18" s="273"/>
      <c r="W18" s="273"/>
      <c r="X18" s="55"/>
    </row>
    <row r="19" spans="1:24" s="52" customFormat="1" x14ac:dyDescent="0.3">
      <c r="A19" s="44"/>
      <c r="B19" s="279"/>
      <c r="C19" s="280"/>
      <c r="D19" s="263" t="s">
        <v>64</v>
      </c>
      <c r="E19" s="263"/>
      <c r="F19" s="274">
        <f>F13*1000*F18</f>
        <v>12960000</v>
      </c>
      <c r="G19" s="274"/>
      <c r="H19" s="45"/>
      <c r="I19" s="136" t="s">
        <v>142</v>
      </c>
      <c r="J19" s="198"/>
      <c r="K19" s="198"/>
      <c r="L19" s="198"/>
      <c r="M19" s="198"/>
      <c r="N19" s="198"/>
      <c r="O19" s="199"/>
      <c r="P19" s="55"/>
      <c r="Q19" s="55"/>
      <c r="R19" s="55"/>
      <c r="S19" s="55"/>
      <c r="T19" s="59"/>
      <c r="U19" s="273"/>
      <c r="V19" s="273"/>
      <c r="W19" s="273"/>
      <c r="X19" s="55"/>
    </row>
    <row r="20" spans="1:24" s="52" customFormat="1" x14ac:dyDescent="0.3">
      <c r="A20" s="44"/>
      <c r="B20" s="57"/>
      <c r="C20" s="57"/>
      <c r="D20" s="57"/>
      <c r="E20" s="57"/>
      <c r="F20" s="57"/>
      <c r="G20" s="57"/>
      <c r="H20" s="45"/>
      <c r="I20" s="200" t="s">
        <v>143</v>
      </c>
      <c r="J20" s="129"/>
      <c r="K20" s="129"/>
      <c r="L20" s="129"/>
      <c r="M20" s="129"/>
      <c r="N20" s="126"/>
      <c r="O20" s="127"/>
      <c r="P20" s="273"/>
      <c r="Q20" s="273"/>
      <c r="R20" s="273"/>
      <c r="S20" s="55"/>
      <c r="T20" s="59"/>
      <c r="U20" s="273"/>
      <c r="V20" s="273"/>
      <c r="W20" s="273"/>
      <c r="X20" s="55"/>
    </row>
    <row r="21" spans="1:24" s="52" customFormat="1" x14ac:dyDescent="0.3">
      <c r="A21" s="44"/>
      <c r="B21" s="57"/>
      <c r="C21" s="57"/>
      <c r="D21" s="57"/>
      <c r="E21" s="57"/>
      <c r="F21" s="57"/>
      <c r="G21" s="57"/>
      <c r="H21" s="45"/>
      <c r="I21" s="201" t="s">
        <v>144</v>
      </c>
      <c r="J21" s="130"/>
      <c r="K21" s="130"/>
      <c r="L21" s="130"/>
      <c r="M21" s="130"/>
      <c r="N21" s="131"/>
      <c r="O21" s="132"/>
      <c r="P21" s="241"/>
      <c r="Q21" s="241"/>
      <c r="R21" s="241"/>
      <c r="S21" s="55"/>
      <c r="T21" s="59"/>
      <c r="U21" s="241"/>
      <c r="V21" s="241"/>
      <c r="W21" s="241"/>
      <c r="X21" s="55"/>
    </row>
    <row r="22" spans="1:24" s="52" customFormat="1" ht="17.399999999999999" x14ac:dyDescent="0.3">
      <c r="A22" s="44"/>
      <c r="B22" s="61" t="s">
        <v>34</v>
      </c>
      <c r="C22" s="57"/>
      <c r="D22" s="57"/>
      <c r="E22" s="57"/>
      <c r="F22" s="57"/>
      <c r="G22" s="57"/>
      <c r="H22" s="45"/>
      <c r="I22" s="202"/>
      <c r="J22" s="203"/>
      <c r="K22" s="203"/>
      <c r="L22" s="203"/>
      <c r="M22" s="203"/>
      <c r="N22" s="204"/>
      <c r="O22" s="205"/>
      <c r="P22" s="241"/>
      <c r="Q22" s="241"/>
      <c r="R22" s="241"/>
      <c r="S22" s="55"/>
      <c r="T22" s="59"/>
      <c r="U22" s="241"/>
      <c r="V22" s="241"/>
      <c r="W22" s="241"/>
      <c r="X22" s="55"/>
    </row>
    <row r="23" spans="1:24" s="52" customFormat="1" x14ac:dyDescent="0.3">
      <c r="A23" s="44"/>
      <c r="B23" s="57"/>
      <c r="C23" s="57"/>
      <c r="D23" s="57"/>
      <c r="E23" s="57"/>
      <c r="F23" s="57"/>
      <c r="G23" s="57"/>
      <c r="H23" s="45"/>
      <c r="I23" s="202"/>
      <c r="J23" s="206"/>
      <c r="K23" s="206"/>
      <c r="L23" s="206"/>
      <c r="M23" s="206"/>
      <c r="N23" s="204"/>
      <c r="O23" s="205"/>
      <c r="P23" s="241"/>
      <c r="Q23" s="241"/>
      <c r="R23" s="241"/>
      <c r="S23" s="55"/>
      <c r="T23" s="59"/>
      <c r="U23" s="241"/>
      <c r="V23" s="241"/>
      <c r="W23" s="241"/>
      <c r="X23" s="55"/>
    </row>
    <row r="24" spans="1:24" s="52" customFormat="1" x14ac:dyDescent="0.3">
      <c r="A24" s="44"/>
      <c r="B24" s="57"/>
      <c r="C24" s="57"/>
      <c r="D24" s="57"/>
      <c r="E24" s="57"/>
      <c r="F24" s="57"/>
      <c r="G24" s="57"/>
      <c r="H24" s="45"/>
      <c r="I24" s="202"/>
      <c r="J24" s="206"/>
      <c r="K24" s="206"/>
      <c r="L24" s="206"/>
      <c r="M24" s="206"/>
      <c r="N24" s="204"/>
      <c r="O24" s="205"/>
      <c r="P24" s="241"/>
      <c r="Q24" s="241"/>
      <c r="R24" s="241"/>
      <c r="S24" s="55"/>
      <c r="T24" s="59"/>
      <c r="U24" s="241"/>
      <c r="V24" s="241"/>
      <c r="W24" s="241"/>
      <c r="X24" s="55"/>
    </row>
    <row r="25" spans="1:24" s="52" customFormat="1" ht="27" customHeight="1" x14ac:dyDescent="0.3">
      <c r="A25" s="44"/>
      <c r="B25" s="266" t="s">
        <v>13</v>
      </c>
      <c r="C25" s="266"/>
      <c r="D25" s="266" t="s">
        <v>4</v>
      </c>
      <c r="E25" s="266"/>
      <c r="F25" s="62" t="s">
        <v>66</v>
      </c>
      <c r="G25" s="63" t="s">
        <v>78</v>
      </c>
      <c r="H25" s="64" t="s">
        <v>29</v>
      </c>
      <c r="I25" s="65"/>
      <c r="J25" s="65"/>
      <c r="K25" s="57"/>
      <c r="L25" s="57"/>
      <c r="M25" s="57"/>
      <c r="N25" s="51"/>
      <c r="O25" s="59"/>
      <c r="P25" s="241"/>
      <c r="Q25" s="241"/>
      <c r="R25" s="241"/>
      <c r="S25" s="55"/>
      <c r="T25" s="59"/>
      <c r="U25" s="241"/>
      <c r="V25" s="241"/>
      <c r="W25" s="241"/>
      <c r="X25" s="55"/>
    </row>
    <row r="26" spans="1:24" s="52" customFormat="1" x14ac:dyDescent="0.3">
      <c r="A26" s="44"/>
      <c r="B26" s="267" t="s">
        <v>39</v>
      </c>
      <c r="C26" s="268"/>
      <c r="D26" s="269" t="s">
        <v>12</v>
      </c>
      <c r="E26" s="270"/>
      <c r="F26" s="20"/>
      <c r="G26" s="240">
        <v>0</v>
      </c>
      <c r="H26" s="64" t="s">
        <v>32</v>
      </c>
      <c r="I26" s="250"/>
      <c r="J26" s="65"/>
      <c r="K26" s="57"/>
      <c r="L26" s="57"/>
      <c r="M26" s="57"/>
      <c r="N26" s="51"/>
      <c r="O26" s="66"/>
      <c r="P26" s="273"/>
      <c r="Q26" s="273"/>
      <c r="R26" s="273"/>
      <c r="S26" s="55"/>
      <c r="T26" s="66"/>
      <c r="U26" s="273"/>
      <c r="V26" s="273"/>
      <c r="W26" s="273"/>
      <c r="X26" s="55"/>
    </row>
    <row r="27" spans="1:24" s="52" customFormat="1" x14ac:dyDescent="0.3">
      <c r="A27" s="44"/>
      <c r="B27" s="266" t="s">
        <v>40</v>
      </c>
      <c r="C27" s="266"/>
      <c r="D27" s="269" t="s">
        <v>12</v>
      </c>
      <c r="E27" s="270"/>
      <c r="F27" s="20"/>
      <c r="G27" s="21"/>
      <c r="H27" s="42"/>
      <c r="I27" s="67" t="e">
        <f>MATCH(H$27,$J$45:$J$46,0)</f>
        <v>#N/A</v>
      </c>
      <c r="J27" s="65"/>
      <c r="K27" s="57"/>
      <c r="L27" s="57"/>
      <c r="M27" s="57"/>
      <c r="N27" s="51"/>
      <c r="O27" s="59"/>
      <c r="P27" s="273"/>
      <c r="Q27" s="273"/>
      <c r="R27" s="273"/>
      <c r="S27" s="55"/>
      <c r="T27" s="59"/>
      <c r="U27" s="273"/>
      <c r="V27" s="273"/>
      <c r="W27" s="273"/>
      <c r="X27" s="55"/>
    </row>
    <row r="28" spans="1:24" x14ac:dyDescent="0.3">
      <c r="B28" s="267" t="s">
        <v>41</v>
      </c>
      <c r="C28" s="268"/>
      <c r="D28" s="269" t="s">
        <v>12</v>
      </c>
      <c r="E28" s="270"/>
      <c r="F28" s="20"/>
      <c r="G28" s="21"/>
      <c r="H28" s="42"/>
      <c r="I28" s="67" t="e">
        <f>MATCH(H$27,$J$45:$J$46,0)</f>
        <v>#N/A</v>
      </c>
      <c r="J28" s="65"/>
    </row>
    <row r="29" spans="1:24" hidden="1" x14ac:dyDescent="0.3">
      <c r="B29" s="266" t="s">
        <v>23</v>
      </c>
      <c r="C29" s="266"/>
      <c r="D29" s="269" t="s">
        <v>12</v>
      </c>
      <c r="E29" s="270"/>
      <c r="F29" s="215"/>
      <c r="G29" s="216"/>
      <c r="H29" s="64" t="str">
        <f>IF(E39="RE",J46,J47)</f>
        <v>PH CPI</v>
      </c>
      <c r="I29" s="251">
        <f>MATCH(H$29,$J$46:$J$47,0)</f>
        <v>1</v>
      </c>
      <c r="J29" s="65"/>
      <c r="L29" s="57"/>
      <c r="M29" s="57"/>
    </row>
    <row r="30" spans="1:24" ht="24" hidden="1" customHeight="1" x14ac:dyDescent="0.3">
      <c r="B30" s="271"/>
      <c r="C30" s="272"/>
      <c r="D30" s="269"/>
      <c r="E30" s="270"/>
      <c r="F30" s="68"/>
      <c r="G30" s="69"/>
      <c r="H30" s="70"/>
      <c r="I30" s="251"/>
      <c r="J30" s="65"/>
      <c r="L30" s="57"/>
      <c r="M30" s="57"/>
    </row>
    <row r="31" spans="1:24" hidden="1" x14ac:dyDescent="0.3">
      <c r="B31" s="266" t="s">
        <v>45</v>
      </c>
      <c r="C31" s="266"/>
      <c r="D31" s="264" t="s">
        <v>12</v>
      </c>
      <c r="E31" s="264"/>
      <c r="F31" s="68">
        <f>SUM(F26:F29)</f>
        <v>0</v>
      </c>
      <c r="G31" s="71"/>
      <c r="H31" s="72"/>
      <c r="I31" s="252"/>
      <c r="J31" s="73"/>
      <c r="P31" s="48"/>
      <c r="Q31" s="48"/>
      <c r="R31" s="48"/>
      <c r="S31" s="45"/>
      <c r="T31" s="45"/>
      <c r="U31" s="45"/>
    </row>
    <row r="32" spans="1:24" x14ac:dyDescent="0.3">
      <c r="B32" s="266" t="s">
        <v>45</v>
      </c>
      <c r="C32" s="266"/>
      <c r="D32" s="264" t="s">
        <v>12</v>
      </c>
      <c r="E32" s="264"/>
      <c r="F32" s="68">
        <f>F31*(1+$F$39)</f>
        <v>0</v>
      </c>
      <c r="G32" s="71"/>
      <c r="H32" s="72"/>
      <c r="I32" s="252"/>
      <c r="J32" s="73"/>
      <c r="P32" s="48"/>
      <c r="Q32" s="48"/>
      <c r="R32" s="48"/>
      <c r="S32" s="45"/>
      <c r="T32" s="45"/>
      <c r="U32" s="45"/>
    </row>
    <row r="33" spans="2:21" x14ac:dyDescent="0.3">
      <c r="E33" s="45"/>
      <c r="F33" s="74"/>
      <c r="Q33" s="45"/>
      <c r="R33" s="45"/>
      <c r="S33" s="45"/>
    </row>
    <row r="34" spans="2:21" ht="17.399999999999999" x14ac:dyDescent="0.3">
      <c r="B34" s="61" t="s">
        <v>83</v>
      </c>
      <c r="D34" s="75"/>
      <c r="F34" s="45"/>
      <c r="Q34" s="45"/>
      <c r="R34" s="45"/>
      <c r="S34" s="45"/>
    </row>
    <row r="35" spans="2:21" x14ac:dyDescent="0.3">
      <c r="D35" s="243" t="s">
        <v>80</v>
      </c>
      <c r="E35" s="116"/>
      <c r="F35" s="45"/>
      <c r="Q35" s="45"/>
      <c r="R35" s="45"/>
      <c r="S35" s="45"/>
    </row>
    <row r="36" spans="2:21" hidden="1" x14ac:dyDescent="0.3">
      <c r="D36" s="243" t="s">
        <v>81</v>
      </c>
      <c r="E36" s="116"/>
      <c r="F36" s="45"/>
      <c r="Q36" s="45"/>
      <c r="R36" s="45"/>
      <c r="S36" s="45"/>
    </row>
    <row r="37" spans="2:21" ht="26.4" x14ac:dyDescent="0.3">
      <c r="D37" s="118" t="s">
        <v>114</v>
      </c>
      <c r="E37" s="116"/>
      <c r="F37" s="45"/>
      <c r="Q37" s="45"/>
      <c r="R37" s="45"/>
      <c r="S37" s="45"/>
    </row>
    <row r="38" spans="2:21" x14ac:dyDescent="0.3">
      <c r="D38" s="243" t="s">
        <v>96</v>
      </c>
      <c r="E38" s="221"/>
      <c r="F38" s="45"/>
      <c r="Q38" s="45"/>
      <c r="R38" s="45"/>
      <c r="S38" s="45"/>
    </row>
    <row r="39" spans="2:21" ht="14.4" x14ac:dyDescent="0.3">
      <c r="B39" s="76" t="s">
        <v>30</v>
      </c>
      <c r="C39" s="76" t="s">
        <v>31</v>
      </c>
      <c r="D39" s="243" t="s">
        <v>16</v>
      </c>
      <c r="E39" s="217" t="s">
        <v>30</v>
      </c>
      <c r="F39" s="77">
        <f>IF(E39="RE",0%,12%)</f>
        <v>0</v>
      </c>
      <c r="Q39" s="45"/>
      <c r="R39" s="45"/>
      <c r="S39" s="45"/>
    </row>
    <row r="40" spans="2:21" x14ac:dyDescent="0.3">
      <c r="B40" s="73"/>
      <c r="C40" s="73"/>
      <c r="E40" s="45"/>
      <c r="F40" s="45"/>
      <c r="Q40" s="45"/>
      <c r="R40" s="45"/>
      <c r="S40" s="45"/>
    </row>
    <row r="41" spans="2:21" x14ac:dyDescent="0.3">
      <c r="G41" s="78"/>
      <c r="H41" s="45"/>
      <c r="L41" s="45"/>
      <c r="M41" s="45"/>
      <c r="N41" s="45"/>
      <c r="O41" s="45"/>
      <c r="Q41" s="45"/>
      <c r="S41" s="45"/>
      <c r="T41" s="45"/>
      <c r="U41" s="45"/>
    </row>
    <row r="42" spans="2:21" ht="17.399999999999999" x14ac:dyDescent="0.3">
      <c r="B42" s="61" t="s">
        <v>82</v>
      </c>
      <c r="G42" s="78"/>
      <c r="H42" s="45"/>
      <c r="L42" s="45"/>
      <c r="M42" s="45"/>
      <c r="N42" s="45"/>
      <c r="O42" s="45"/>
      <c r="Q42" s="45"/>
      <c r="S42" s="45"/>
      <c r="T42" s="45"/>
      <c r="U42" s="45"/>
    </row>
    <row r="43" spans="2:21" ht="15" customHeight="1" x14ac:dyDescent="0.3">
      <c r="D43" s="265"/>
      <c r="E43" s="265"/>
      <c r="F43" s="69"/>
      <c r="G43" s="78"/>
      <c r="H43" s="45"/>
      <c r="J43" s="252"/>
      <c r="L43" s="45"/>
      <c r="M43" s="45"/>
      <c r="N43" s="45"/>
      <c r="O43" s="45"/>
      <c r="Q43" s="45"/>
      <c r="S43" s="45"/>
      <c r="T43" s="45"/>
      <c r="U43" s="45"/>
    </row>
    <row r="44" spans="2:21" ht="15" customHeight="1" x14ac:dyDescent="0.3">
      <c r="D44" s="254" t="s">
        <v>4</v>
      </c>
      <c r="E44" s="254"/>
      <c r="F44" s="247" t="s">
        <v>36</v>
      </c>
      <c r="G44" s="262" t="s">
        <v>28</v>
      </c>
      <c r="H44" s="262"/>
      <c r="I44" s="262"/>
      <c r="J44" s="252"/>
      <c r="L44" s="45"/>
      <c r="M44" s="45"/>
      <c r="N44" s="45"/>
      <c r="O44" s="45"/>
      <c r="Q44" s="45"/>
      <c r="S44" s="45"/>
      <c r="T44" s="45"/>
      <c r="U44" s="45"/>
    </row>
    <row r="45" spans="2:21" ht="15" customHeight="1" x14ac:dyDescent="0.3">
      <c r="B45" s="263" t="s">
        <v>7</v>
      </c>
      <c r="C45" s="263"/>
      <c r="D45" s="255" t="s">
        <v>47</v>
      </c>
      <c r="E45" s="256"/>
      <c r="F45" s="79">
        <v>8.1500000000000003E-2</v>
      </c>
      <c r="G45" s="257" t="s">
        <v>132</v>
      </c>
      <c r="H45" s="258"/>
      <c r="I45" s="259"/>
      <c r="J45" s="80" t="s">
        <v>37</v>
      </c>
      <c r="K45" s="80">
        <v>1</v>
      </c>
      <c r="L45" s="81"/>
      <c r="M45" s="45"/>
      <c r="N45" s="45"/>
      <c r="O45" s="45"/>
      <c r="Q45" s="45"/>
      <c r="S45" s="45"/>
      <c r="T45" s="45"/>
      <c r="U45" s="45"/>
    </row>
    <row r="46" spans="2:21" ht="15" customHeight="1" x14ac:dyDescent="0.3">
      <c r="B46" s="263" t="s">
        <v>9</v>
      </c>
      <c r="C46" s="263"/>
      <c r="D46" s="255" t="s">
        <v>47</v>
      </c>
      <c r="E46" s="256"/>
      <c r="F46" s="79">
        <v>5.8000000000000003E-2</v>
      </c>
      <c r="G46" s="257" t="s">
        <v>133</v>
      </c>
      <c r="H46" s="258"/>
      <c r="I46" s="259"/>
      <c r="J46" s="80" t="s">
        <v>48</v>
      </c>
      <c r="K46" s="80">
        <v>2</v>
      </c>
      <c r="L46" s="81">
        <v>1</v>
      </c>
      <c r="M46" s="45"/>
      <c r="N46" s="45"/>
      <c r="O46" s="45"/>
      <c r="Q46" s="45"/>
      <c r="S46" s="45"/>
      <c r="T46" s="45"/>
      <c r="U46" s="45"/>
    </row>
    <row r="47" spans="2:21" ht="15" hidden="1" customHeight="1" x14ac:dyDescent="0.3">
      <c r="B47" s="263" t="s">
        <v>10</v>
      </c>
      <c r="C47" s="263"/>
      <c r="D47" s="255" t="s">
        <v>47</v>
      </c>
      <c r="E47" s="256"/>
      <c r="F47" s="79">
        <v>5.5E-2</v>
      </c>
      <c r="G47" s="257" t="s">
        <v>108</v>
      </c>
      <c r="H47" s="258"/>
      <c r="I47" s="259"/>
      <c r="J47" s="253" t="s">
        <v>49</v>
      </c>
      <c r="K47" s="80"/>
      <c r="L47" s="81">
        <v>2</v>
      </c>
      <c r="M47" s="45"/>
      <c r="N47" s="45"/>
      <c r="O47" s="45"/>
      <c r="Q47" s="45"/>
      <c r="S47" s="45"/>
      <c r="T47" s="45"/>
      <c r="U47" s="45"/>
    </row>
    <row r="48" spans="2:21" ht="15" customHeight="1" x14ac:dyDescent="0.3">
      <c r="J48" s="252"/>
      <c r="L48" s="45"/>
      <c r="M48" s="45"/>
      <c r="N48" s="45"/>
      <c r="O48" s="45"/>
      <c r="Q48" s="45"/>
      <c r="S48" s="45"/>
      <c r="T48" s="45"/>
      <c r="U48" s="45"/>
    </row>
    <row r="49" spans="2:28" ht="15" customHeight="1" x14ac:dyDescent="0.3">
      <c r="D49" s="254" t="s">
        <v>4</v>
      </c>
      <c r="E49" s="254"/>
      <c r="F49" s="247" t="s">
        <v>46</v>
      </c>
      <c r="G49" s="262" t="s">
        <v>28</v>
      </c>
      <c r="H49" s="262"/>
      <c r="I49" s="262"/>
      <c r="J49" s="252"/>
      <c r="L49" s="45"/>
      <c r="M49" s="45"/>
      <c r="N49" s="45"/>
      <c r="O49" s="45"/>
      <c r="Q49" s="45"/>
      <c r="S49" s="45"/>
      <c r="T49" s="45"/>
      <c r="U49" s="45"/>
    </row>
    <row r="50" spans="2:28" ht="15" customHeight="1" x14ac:dyDescent="0.3">
      <c r="B50" s="263" t="s">
        <v>85</v>
      </c>
      <c r="C50" s="263"/>
      <c r="D50" s="255"/>
      <c r="E50" s="256"/>
      <c r="F50" s="114">
        <v>292.27839999999998</v>
      </c>
      <c r="G50" s="244" t="s">
        <v>136</v>
      </c>
      <c r="H50" s="245"/>
      <c r="I50" s="246"/>
      <c r="J50" s="252"/>
      <c r="L50" s="45"/>
      <c r="M50" s="45"/>
      <c r="N50" s="45"/>
      <c r="O50" s="45"/>
      <c r="Q50" s="45"/>
      <c r="S50" s="45"/>
      <c r="T50" s="45"/>
      <c r="U50" s="45"/>
    </row>
    <row r="51" spans="2:28" ht="15" customHeight="1" x14ac:dyDescent="0.3">
      <c r="B51" s="263" t="s">
        <v>35</v>
      </c>
      <c r="C51" s="263"/>
      <c r="D51" s="255"/>
      <c r="E51" s="256"/>
      <c r="F51" s="114">
        <v>115.3</v>
      </c>
      <c r="G51" s="257" t="s">
        <v>135</v>
      </c>
      <c r="H51" s="258"/>
      <c r="I51" s="259"/>
      <c r="J51" s="252"/>
      <c r="L51" s="45"/>
      <c r="M51" s="45"/>
      <c r="N51" s="45"/>
      <c r="O51" s="45"/>
      <c r="Q51" s="45"/>
      <c r="S51" s="45"/>
      <c r="T51" s="45"/>
      <c r="U51" s="45"/>
    </row>
    <row r="52" spans="2:28" ht="15" hidden="1" customHeight="1" x14ac:dyDescent="0.3">
      <c r="B52" s="263" t="s">
        <v>77</v>
      </c>
      <c r="C52" s="263"/>
      <c r="D52" s="255" t="s">
        <v>15</v>
      </c>
      <c r="E52" s="256"/>
      <c r="F52" s="114">
        <v>129.75166666666669</v>
      </c>
      <c r="G52" s="257" t="s">
        <v>134</v>
      </c>
      <c r="H52" s="258"/>
      <c r="I52" s="259"/>
      <c r="J52" s="252"/>
      <c r="N52" s="45"/>
      <c r="O52" s="45"/>
      <c r="Q52" s="45"/>
      <c r="S52" s="45"/>
      <c r="T52" s="45"/>
      <c r="U52" s="45"/>
    </row>
    <row r="53" spans="2:28" ht="15" customHeight="1" x14ac:dyDescent="0.3">
      <c r="B53" s="260" t="s">
        <v>11</v>
      </c>
      <c r="C53" s="261"/>
      <c r="D53" s="255" t="s">
        <v>12</v>
      </c>
      <c r="E53" s="256"/>
      <c r="F53" s="114">
        <v>7.8852000000000002</v>
      </c>
      <c r="G53" s="257" t="s">
        <v>137</v>
      </c>
      <c r="H53" s="258"/>
      <c r="I53" s="259"/>
      <c r="J53" s="252"/>
      <c r="N53" s="45"/>
      <c r="O53" s="45"/>
      <c r="Q53" s="45"/>
      <c r="S53" s="45"/>
      <c r="T53" s="45"/>
      <c r="U53" s="45"/>
    </row>
    <row r="54" spans="2:28" ht="15" customHeight="1" x14ac:dyDescent="0.3">
      <c r="B54" s="260" t="s">
        <v>14</v>
      </c>
      <c r="C54" s="261"/>
      <c r="D54" s="255" t="s">
        <v>47</v>
      </c>
      <c r="E54" s="256"/>
      <c r="F54" s="115">
        <v>0.06</v>
      </c>
      <c r="G54" s="257" t="s">
        <v>137</v>
      </c>
      <c r="H54" s="258"/>
      <c r="I54" s="259"/>
      <c r="J54" s="252"/>
      <c r="N54" s="45"/>
      <c r="O54" s="45"/>
      <c r="Q54" s="45"/>
      <c r="S54" s="45"/>
      <c r="T54" s="45"/>
      <c r="U54" s="45"/>
    </row>
    <row r="55" spans="2:28" ht="15" customHeight="1" x14ac:dyDescent="0.3">
      <c r="D55" s="242"/>
      <c r="E55" s="242"/>
      <c r="F55" s="69"/>
      <c r="G55" s="78"/>
      <c r="H55" s="45"/>
      <c r="J55" s="252"/>
      <c r="N55" s="45"/>
      <c r="O55" s="45"/>
      <c r="Q55" s="45"/>
      <c r="S55" s="45" t="e">
        <f>F55*INPUT!#REF!+SUM(G55:L55)*INPUT!$E$37+($AC55-$E$19)*$E$46</f>
        <v>#REF!</v>
      </c>
      <c r="T55" s="45"/>
      <c r="U55" s="45"/>
    </row>
    <row r="56" spans="2:28" ht="15" customHeight="1" x14ac:dyDescent="0.3">
      <c r="D56" s="242"/>
      <c r="E56" s="242"/>
      <c r="F56" s="69"/>
      <c r="G56" s="78"/>
      <c r="H56" s="45"/>
      <c r="J56" s="252"/>
      <c r="N56" s="45"/>
      <c r="O56" s="45"/>
      <c r="Q56" s="45"/>
      <c r="S56" s="45"/>
      <c r="T56" s="45"/>
      <c r="U56" s="45"/>
    </row>
    <row r="57" spans="2:28" ht="15" customHeight="1" x14ac:dyDescent="0.3">
      <c r="C57" s="254" t="s">
        <v>65</v>
      </c>
      <c r="D57" s="254"/>
      <c r="E57" s="254"/>
      <c r="F57" s="207"/>
      <c r="G57" s="78"/>
      <c r="H57" s="45"/>
      <c r="L57" s="45"/>
      <c r="M57" s="45"/>
      <c r="N57" s="45"/>
      <c r="O57" s="45"/>
      <c r="Q57" s="45"/>
      <c r="S57" s="45"/>
      <c r="T57" s="45"/>
      <c r="U57" s="45"/>
    </row>
    <row r="58" spans="2:28" x14ac:dyDescent="0.3">
      <c r="C58" s="247" t="s">
        <v>50</v>
      </c>
      <c r="D58" s="113">
        <f>F45</f>
        <v>8.1500000000000003E-2</v>
      </c>
      <c r="E58" s="113">
        <f>F46</f>
        <v>5.8000000000000003E-2</v>
      </c>
      <c r="F58" s="208">
        <f>F47</f>
        <v>5.5E-2</v>
      </c>
      <c r="G58" s="78"/>
      <c r="H58" s="45"/>
      <c r="L58" s="45"/>
      <c r="M58" s="45"/>
      <c r="N58" s="45"/>
      <c r="O58" s="45"/>
      <c r="Q58" s="45"/>
      <c r="S58" s="45"/>
      <c r="T58" s="45"/>
      <c r="U58" s="45"/>
    </row>
    <row r="59" spans="2:28" x14ac:dyDescent="0.3">
      <c r="C59" s="247" t="s">
        <v>18</v>
      </c>
      <c r="D59" s="247" t="s">
        <v>37</v>
      </c>
      <c r="E59" s="247" t="s">
        <v>38</v>
      </c>
      <c r="F59" s="209" t="s">
        <v>84</v>
      </c>
      <c r="G59" s="78"/>
      <c r="H59" s="45"/>
      <c r="L59" s="45"/>
      <c r="M59" s="45"/>
      <c r="N59" s="45"/>
      <c r="O59" s="45"/>
      <c r="Q59" s="45"/>
      <c r="S59" s="45"/>
      <c r="T59" s="45"/>
      <c r="U59" s="45"/>
    </row>
    <row r="60" spans="2:28" x14ac:dyDescent="0.3">
      <c r="C60" s="82">
        <v>2022</v>
      </c>
      <c r="D60" s="82" t="s">
        <v>32</v>
      </c>
      <c r="E60" s="82" t="s">
        <v>32</v>
      </c>
      <c r="F60" s="210" t="s">
        <v>32</v>
      </c>
      <c r="G60" s="78"/>
      <c r="H60" s="45"/>
      <c r="L60" s="45"/>
      <c r="M60" s="45"/>
      <c r="N60" s="45"/>
      <c r="O60" s="45"/>
      <c r="Q60" s="45"/>
      <c r="S60" s="45"/>
      <c r="T60" s="45"/>
      <c r="U60" s="45"/>
    </row>
    <row r="61" spans="2:28" x14ac:dyDescent="0.3">
      <c r="C61" s="82">
        <v>2023</v>
      </c>
      <c r="D61" s="116"/>
      <c r="E61" s="116"/>
      <c r="F61" s="218"/>
      <c r="G61" s="83"/>
      <c r="H61" s="45"/>
      <c r="L61" s="45"/>
      <c r="M61" s="45"/>
      <c r="N61" s="45"/>
      <c r="O61" s="45"/>
      <c r="Q61" s="45"/>
      <c r="S61" s="45"/>
      <c r="T61" s="45"/>
      <c r="U61" s="45"/>
    </row>
    <row r="62" spans="2:28" x14ac:dyDescent="0.3">
      <c r="C62" s="82">
        <v>2024</v>
      </c>
      <c r="D62" s="116"/>
      <c r="E62" s="116"/>
      <c r="F62" s="218"/>
      <c r="G62" s="78"/>
      <c r="H62" s="45"/>
      <c r="I62" s="45"/>
      <c r="J62" s="45"/>
      <c r="K62" s="45"/>
      <c r="L62" s="45"/>
      <c r="M62" s="45"/>
      <c r="N62" s="45"/>
      <c r="O62" s="45"/>
      <c r="Q62" s="45"/>
      <c r="S62" s="45"/>
      <c r="T62" s="45"/>
      <c r="U62" s="45"/>
      <c r="AB62" s="84"/>
    </row>
    <row r="63" spans="2:28" x14ac:dyDescent="0.3">
      <c r="C63" s="82">
        <v>2025</v>
      </c>
      <c r="D63" s="116"/>
      <c r="E63" s="116"/>
      <c r="F63" s="218"/>
      <c r="G63" s="78"/>
    </row>
    <row r="64" spans="2:28" x14ac:dyDescent="0.3">
      <c r="C64" s="82">
        <v>2026</v>
      </c>
      <c r="D64" s="116"/>
      <c r="E64" s="116"/>
      <c r="F64" s="218"/>
      <c r="G64" s="78"/>
    </row>
    <row r="65" spans="3:7" x14ac:dyDescent="0.3">
      <c r="C65" s="82">
        <v>2027</v>
      </c>
      <c r="D65" s="116"/>
      <c r="E65" s="116"/>
      <c r="F65" s="218"/>
      <c r="G65" s="78"/>
    </row>
    <row r="66" spans="3:7" x14ac:dyDescent="0.3">
      <c r="C66" s="82">
        <v>2028</v>
      </c>
      <c r="D66" s="116"/>
      <c r="E66" s="116"/>
      <c r="F66" s="218"/>
      <c r="G66" s="78"/>
    </row>
    <row r="67" spans="3:7" x14ac:dyDescent="0.3">
      <c r="C67" s="82">
        <v>2029</v>
      </c>
      <c r="D67" s="116"/>
      <c r="E67" s="116"/>
      <c r="F67" s="218"/>
      <c r="G67" s="78"/>
    </row>
    <row r="68" spans="3:7" x14ac:dyDescent="0.3">
      <c r="C68" s="82">
        <v>2030</v>
      </c>
      <c r="D68" s="116"/>
      <c r="E68" s="116"/>
      <c r="F68" s="218"/>
      <c r="G68" s="78"/>
    </row>
    <row r="69" spans="3:7" x14ac:dyDescent="0.3">
      <c r="C69" s="82">
        <v>2031</v>
      </c>
      <c r="D69" s="116"/>
      <c r="E69" s="116"/>
      <c r="F69" s="218"/>
      <c r="G69" s="78"/>
    </row>
    <row r="70" spans="3:7" x14ac:dyDescent="0.3">
      <c r="C70" s="82">
        <v>2032</v>
      </c>
      <c r="D70" s="116"/>
      <c r="E70" s="116"/>
      <c r="F70" s="218"/>
      <c r="G70" s="78"/>
    </row>
    <row r="71" spans="3:7" x14ac:dyDescent="0.3">
      <c r="C71" s="82">
        <v>2033</v>
      </c>
      <c r="D71" s="116"/>
      <c r="E71" s="116"/>
      <c r="F71" s="218"/>
      <c r="G71" s="78"/>
    </row>
  </sheetData>
  <sheetProtection algorithmName="SHA-512" hashValue="hglcMnGH7kzUvU9esOelkuu9KRv5yfMi1r4E7E3XdlXcIOSkl29FLY/GLp7S2XcmrKytxp8hWG9FaugRLNq73g==" saltValue="eSqNKF+4LB33goGI9vfpNQ==" spinCount="100000" sheet="1" objects="1" scenarios="1"/>
  <mergeCells count="81">
    <mergeCell ref="I12:J12"/>
    <mergeCell ref="B7:G7"/>
    <mergeCell ref="B14:E14"/>
    <mergeCell ref="F14:G14"/>
    <mergeCell ref="P14:R14"/>
    <mergeCell ref="U14:W14"/>
    <mergeCell ref="B13:E13"/>
    <mergeCell ref="F13:G13"/>
    <mergeCell ref="P13:R13"/>
    <mergeCell ref="U13:W13"/>
    <mergeCell ref="B15:E15"/>
    <mergeCell ref="F15:G15"/>
    <mergeCell ref="P15:R15"/>
    <mergeCell ref="U15:W15"/>
    <mergeCell ref="U16:W16"/>
    <mergeCell ref="D18:E18"/>
    <mergeCell ref="F18:G18"/>
    <mergeCell ref="B16:C19"/>
    <mergeCell ref="P18:R18"/>
    <mergeCell ref="U18:W18"/>
    <mergeCell ref="D19:E19"/>
    <mergeCell ref="F19:G19"/>
    <mergeCell ref="U19:W19"/>
    <mergeCell ref="D17:E17"/>
    <mergeCell ref="F17:G17"/>
    <mergeCell ref="P17:R17"/>
    <mergeCell ref="U17:W17"/>
    <mergeCell ref="D16:E16"/>
    <mergeCell ref="F16:G16"/>
    <mergeCell ref="P16:R16"/>
    <mergeCell ref="P20:R20"/>
    <mergeCell ref="U20:W20"/>
    <mergeCell ref="B27:C27"/>
    <mergeCell ref="D27:E27"/>
    <mergeCell ref="P27:R27"/>
    <mergeCell ref="U27:W27"/>
    <mergeCell ref="B26:C26"/>
    <mergeCell ref="D26:E26"/>
    <mergeCell ref="P26:R26"/>
    <mergeCell ref="U26:W26"/>
    <mergeCell ref="B25:C25"/>
    <mergeCell ref="D25:E25"/>
    <mergeCell ref="B28:C28"/>
    <mergeCell ref="D28:E28"/>
    <mergeCell ref="B29:C29"/>
    <mergeCell ref="D29:E29"/>
    <mergeCell ref="B31:C31"/>
    <mergeCell ref="D31:E31"/>
    <mergeCell ref="B30:C30"/>
    <mergeCell ref="D30:E30"/>
    <mergeCell ref="B52:C52"/>
    <mergeCell ref="D52:E52"/>
    <mergeCell ref="G45:I45"/>
    <mergeCell ref="D32:E32"/>
    <mergeCell ref="D43:E43"/>
    <mergeCell ref="G47:I47"/>
    <mergeCell ref="D51:E51"/>
    <mergeCell ref="B45:C45"/>
    <mergeCell ref="B46:C46"/>
    <mergeCell ref="B47:C47"/>
    <mergeCell ref="B50:C50"/>
    <mergeCell ref="B51:C51"/>
    <mergeCell ref="B32:C32"/>
    <mergeCell ref="G44:I44"/>
    <mergeCell ref="D44:E44"/>
    <mergeCell ref="D45:E45"/>
    <mergeCell ref="G46:I46"/>
    <mergeCell ref="G51:I51"/>
    <mergeCell ref="G52:I52"/>
    <mergeCell ref="D49:E49"/>
    <mergeCell ref="G49:I49"/>
    <mergeCell ref="D46:E46"/>
    <mergeCell ref="D47:E47"/>
    <mergeCell ref="D50:E50"/>
    <mergeCell ref="C57:E57"/>
    <mergeCell ref="D53:E53"/>
    <mergeCell ref="D54:E54"/>
    <mergeCell ref="G53:I53"/>
    <mergeCell ref="G54:I54"/>
    <mergeCell ref="B53:C53"/>
    <mergeCell ref="B54:C54"/>
  </mergeCells>
  <dataValidations count="5">
    <dataValidation type="list" allowBlank="1" showInputMessage="1" showErrorMessage="1" sqref="E39">
      <formula1>$B$39:$C$39</formula1>
    </dataValidation>
    <dataValidation type="custom" allowBlank="1" showInputMessage="1" showErrorMessage="1" sqref="D61:D71">
      <formula1>D61&lt;=$F$45</formula1>
    </dataValidation>
    <dataValidation type="custom" allowBlank="1" showInputMessage="1" showErrorMessage="1" sqref="E61:E71">
      <formula1>E61&lt;=$F$46</formula1>
    </dataValidation>
    <dataValidation type="custom" allowBlank="1" showInputMessage="1" showErrorMessage="1" sqref="F61:F71">
      <formula1>F61&lt;=$F$47</formula1>
    </dataValidation>
    <dataValidation type="list" allowBlank="1" showInputMessage="1" showErrorMessage="1" sqref="H27:H28">
      <formula1>$J$45:$J$46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F44"/>
  <sheetViews>
    <sheetView zoomScale="85" zoomScaleNormal="85" workbookViewId="0">
      <selection activeCell="L43" sqref="L43"/>
    </sheetView>
  </sheetViews>
  <sheetFormatPr defaultColWidth="9.109375" defaultRowHeight="13.8" x14ac:dyDescent="0.25"/>
  <cols>
    <col min="1" max="1" width="3" style="22" customWidth="1"/>
    <col min="2" max="2" width="7.5546875" style="22" customWidth="1"/>
    <col min="3" max="3" width="3" style="22" bestFit="1" customWidth="1"/>
    <col min="4" max="4" width="7.44140625" style="22" customWidth="1"/>
    <col min="5" max="6" width="8" style="22" customWidth="1"/>
    <col min="7" max="7" width="8" style="22" hidden="1" customWidth="1"/>
    <col min="8" max="9" width="11.44140625" style="22" bestFit="1" customWidth="1"/>
    <col min="10" max="10" width="11.44140625" style="22" hidden="1" customWidth="1"/>
    <col min="11" max="11" width="16.6640625" style="22" bestFit="1" customWidth="1"/>
    <col min="12" max="13" width="16.33203125" style="22" bestFit="1" customWidth="1"/>
    <col min="14" max="14" width="16.33203125" style="22" hidden="1" customWidth="1"/>
    <col min="15" max="15" width="14.88671875" style="22" customWidth="1"/>
    <col min="16" max="16" width="14.5546875" style="22" customWidth="1"/>
    <col min="17" max="17" width="18" style="22" bestFit="1" customWidth="1"/>
    <col min="18" max="18" width="9.33203125" style="22" hidden="1" customWidth="1"/>
    <col min="19" max="19" width="15.33203125" style="22" bestFit="1" customWidth="1"/>
    <col min="20" max="20" width="18" style="22" bestFit="1" customWidth="1"/>
    <col min="21" max="21" width="16.33203125" style="22" bestFit="1" customWidth="1"/>
    <col min="22" max="22" width="18" style="22" bestFit="1" customWidth="1"/>
    <col min="23" max="23" width="18.88671875" style="22" bestFit="1" customWidth="1"/>
    <col min="24" max="24" width="8.109375" style="22" hidden="1" customWidth="1"/>
    <col min="25" max="25" width="5.5546875" style="22" hidden="1" customWidth="1"/>
    <col min="26" max="26" width="10.44140625" style="22" hidden="1" customWidth="1"/>
    <col min="27" max="27" width="10" style="22" hidden="1" customWidth="1"/>
    <col min="28" max="28" width="14" style="22" hidden="1" customWidth="1"/>
    <col min="29" max="29" width="15.5546875" style="22" hidden="1" customWidth="1"/>
    <col min="30" max="16384" width="9.109375" style="22"/>
  </cols>
  <sheetData>
    <row r="2" spans="2:32" ht="20.399999999999999" x14ac:dyDescent="0.25">
      <c r="B2" s="23" t="s">
        <v>27</v>
      </c>
      <c r="C2" s="24"/>
      <c r="D2" s="24"/>
      <c r="E2" s="24"/>
      <c r="F2" s="24"/>
      <c r="G2" s="24"/>
      <c r="H2" s="24"/>
      <c r="P2" s="24"/>
      <c r="Q2" s="24"/>
      <c r="R2" s="24"/>
      <c r="S2" s="24"/>
      <c r="T2" s="24"/>
      <c r="U2" s="24"/>
      <c r="V2" s="24"/>
    </row>
    <row r="3" spans="2:32" x14ac:dyDescent="0.25"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2" x14ac:dyDescent="0.25">
      <c r="B4" s="292" t="s">
        <v>17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4"/>
      <c r="R4" s="287" t="s">
        <v>62</v>
      </c>
      <c r="S4" s="287" t="s">
        <v>92</v>
      </c>
      <c r="T4" s="287" t="s">
        <v>93</v>
      </c>
      <c r="U4" s="287" t="s">
        <v>60</v>
      </c>
      <c r="V4" s="287" t="s">
        <v>45</v>
      </c>
      <c r="W4" s="287" t="s">
        <v>123</v>
      </c>
      <c r="X4" s="26"/>
      <c r="Y4" s="26"/>
      <c r="Z4" s="26"/>
    </row>
    <row r="5" spans="2:32" x14ac:dyDescent="0.25">
      <c r="B5" s="297" t="s">
        <v>18</v>
      </c>
      <c r="C5" s="297" t="s">
        <v>19</v>
      </c>
      <c r="D5" s="27"/>
      <c r="E5" s="27"/>
      <c r="F5" s="27"/>
      <c r="G5" s="27"/>
      <c r="H5" s="28" t="e">
        <f>INPUT!I27</f>
        <v>#N/A</v>
      </c>
      <c r="I5" s="28" t="e">
        <f>INPUT!I28</f>
        <v>#N/A</v>
      </c>
      <c r="J5" s="28">
        <f>INPUT!I29</f>
        <v>1</v>
      </c>
      <c r="K5" s="287" t="s">
        <v>20</v>
      </c>
      <c r="L5" s="287" t="s">
        <v>21</v>
      </c>
      <c r="M5" s="287" t="s">
        <v>22</v>
      </c>
      <c r="N5" s="287" t="s">
        <v>23</v>
      </c>
      <c r="O5" s="287" t="s">
        <v>24</v>
      </c>
      <c r="P5" s="287" t="s">
        <v>25</v>
      </c>
      <c r="Q5" s="287" t="s">
        <v>63</v>
      </c>
      <c r="R5" s="288"/>
      <c r="S5" s="288"/>
      <c r="T5" s="288"/>
      <c r="U5" s="288"/>
      <c r="V5" s="288"/>
      <c r="W5" s="288"/>
      <c r="X5" s="26"/>
      <c r="Y5" s="26"/>
      <c r="Z5" s="26"/>
    </row>
    <row r="6" spans="2:32" ht="26.4" x14ac:dyDescent="0.25">
      <c r="B6" s="298"/>
      <c r="C6" s="298"/>
      <c r="D6" s="29" t="s">
        <v>39</v>
      </c>
      <c r="E6" s="30" t="s">
        <v>54</v>
      </c>
      <c r="F6" s="30" t="s">
        <v>55</v>
      </c>
      <c r="G6" s="30" t="s">
        <v>56</v>
      </c>
      <c r="H6" s="30" t="s">
        <v>51</v>
      </c>
      <c r="I6" s="30" t="s">
        <v>52</v>
      </c>
      <c r="J6" s="30" t="s">
        <v>53</v>
      </c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6"/>
      <c r="Y6" s="26"/>
      <c r="Z6" s="26"/>
    </row>
    <row r="7" spans="2:32" x14ac:dyDescent="0.25">
      <c r="B7" s="29"/>
      <c r="C7" s="29"/>
      <c r="D7" s="31" t="s">
        <v>57</v>
      </c>
      <c r="E7" s="31" t="s">
        <v>57</v>
      </c>
      <c r="F7" s="31" t="s">
        <v>57</v>
      </c>
      <c r="G7" s="31" t="s">
        <v>57</v>
      </c>
      <c r="H7" s="31" t="s">
        <v>57</v>
      </c>
      <c r="I7" s="31" t="s">
        <v>57</v>
      </c>
      <c r="J7" s="31" t="s">
        <v>57</v>
      </c>
      <c r="K7" s="32" t="s">
        <v>58</v>
      </c>
      <c r="L7" s="32" t="s">
        <v>58</v>
      </c>
      <c r="M7" s="32" t="s">
        <v>58</v>
      </c>
      <c r="N7" s="32" t="s">
        <v>58</v>
      </c>
      <c r="O7" s="32" t="s">
        <v>58</v>
      </c>
      <c r="P7" s="32" t="s">
        <v>58</v>
      </c>
      <c r="Q7" s="32" t="s">
        <v>58</v>
      </c>
      <c r="R7" s="32"/>
      <c r="S7" s="32" t="s">
        <v>58</v>
      </c>
      <c r="T7" s="32" t="s">
        <v>58</v>
      </c>
      <c r="U7" s="32" t="s">
        <v>58</v>
      </c>
      <c r="V7" s="32" t="s">
        <v>58</v>
      </c>
      <c r="W7" s="32" t="s">
        <v>59</v>
      </c>
      <c r="X7" s="26"/>
      <c r="Y7" s="26"/>
      <c r="Z7" s="26"/>
    </row>
    <row r="8" spans="2:32" x14ac:dyDescent="0.25">
      <c r="B8" s="33">
        <v>2023</v>
      </c>
      <c r="C8" s="33">
        <v>1</v>
      </c>
      <c r="D8" s="34">
        <f>INPUT!$F$26</f>
        <v>0</v>
      </c>
      <c r="E8" s="34">
        <f>INPUT!F27*(1-INPUT!G27)</f>
        <v>0</v>
      </c>
      <c r="F8" s="34">
        <f>INPUT!F28*(1-INPUT!G28)</f>
        <v>0</v>
      </c>
      <c r="G8" s="34">
        <f>INPUT!F29*(1-INPUT!G29)</f>
        <v>0</v>
      </c>
      <c r="H8" s="34">
        <f>INPUT!F27*INPUT!G27</f>
        <v>0</v>
      </c>
      <c r="I8" s="34">
        <f>INPUT!F28*INPUT!G28</f>
        <v>0</v>
      </c>
      <c r="J8" s="34">
        <f>INPUT!F29*INPUT!G29</f>
        <v>0</v>
      </c>
      <c r="K8" s="35">
        <f>(W8-data!F5)*D8</f>
        <v>0</v>
      </c>
      <c r="L8" s="35">
        <f>(W8-data!F5)*(E8+$H8)</f>
        <v>0</v>
      </c>
      <c r="M8" s="35">
        <f>(W8-data!F5)*(F8+I8)</f>
        <v>0</v>
      </c>
      <c r="N8" s="35">
        <f>(W8-data!F5)*(G8+J8)</f>
        <v>0</v>
      </c>
      <c r="O8" s="35">
        <f>(data!F5/2)*INPUT!$F$53</f>
        <v>8516016</v>
      </c>
      <c r="P8" s="35">
        <f>O8</f>
        <v>8516016</v>
      </c>
      <c r="Q8" s="35">
        <f>SUM($K8:$P8)</f>
        <v>17032032</v>
      </c>
      <c r="R8" s="5"/>
      <c r="S8" s="5">
        <f>(SUM(K8:N8)*3.2%)</f>
        <v>0</v>
      </c>
      <c r="T8" s="35">
        <f>Q8+S8</f>
        <v>17032032</v>
      </c>
      <c r="U8" s="225">
        <f>SUM(K8:N8)*(INPUT!$F$39)+SUM($O8:$P8)*INPUT!$F$54</f>
        <v>1021921.9199999999</v>
      </c>
      <c r="V8" s="35">
        <f>SUM(T8,U8)</f>
        <v>18053953.920000002</v>
      </c>
      <c r="W8" s="192">
        <f>LCOE!V8</f>
        <v>26280000</v>
      </c>
      <c r="X8" s="107" t="s">
        <v>67</v>
      </c>
      <c r="Y8" s="36">
        <f>B8</f>
        <v>2023</v>
      </c>
      <c r="Z8" s="226">
        <f>V8/W8</f>
        <v>0.68698454794520558</v>
      </c>
    </row>
    <row r="9" spans="2:32" x14ac:dyDescent="0.25">
      <c r="B9" s="33">
        <v>2024</v>
      </c>
      <c r="C9" s="33">
        <v>2</v>
      </c>
      <c r="D9" s="34">
        <f>INPUT!$F$26</f>
        <v>0</v>
      </c>
      <c r="E9" s="34">
        <f>E8</f>
        <v>0</v>
      </c>
      <c r="F9" s="34">
        <f t="shared" ref="F9:G18" si="0">F8</f>
        <v>0</v>
      </c>
      <c r="G9" s="34">
        <f t="shared" si="0"/>
        <v>0</v>
      </c>
      <c r="H9" s="34" t="e">
        <f>H8*(1+CHOOSE(H$5,INPUT!$D61,INPUT!$E61))</f>
        <v>#N/A</v>
      </c>
      <c r="I9" s="34" t="e">
        <f>I8*(1+CHOOSE(I$5,INPUT!$D61,INPUT!$E61))</f>
        <v>#N/A</v>
      </c>
      <c r="J9" s="34">
        <f>J8*(1+CHOOSE(J$5,INPUT!$E61,INPUT!$F61))</f>
        <v>0</v>
      </c>
      <c r="K9" s="35">
        <f>(W9-data!F6)*D9</f>
        <v>0</v>
      </c>
      <c r="L9" s="35" t="e">
        <f>(W9-data!F6)*(E9+H9)</f>
        <v>#N/A</v>
      </c>
      <c r="M9" s="35" t="e">
        <f>(W9-data!F6)*(F9+I9)</f>
        <v>#N/A</v>
      </c>
      <c r="N9" s="35">
        <f>(W9-data!F6)*(G9+J9)</f>
        <v>0</v>
      </c>
      <c r="O9" s="35">
        <f>(data!F6/2)*INPUT!$F$53</f>
        <v>28386720</v>
      </c>
      <c r="P9" s="35">
        <f t="shared" ref="P9:P17" si="1">O9</f>
        <v>28386720</v>
      </c>
      <c r="Q9" s="35" t="e">
        <f>SUM($K9:$P9)</f>
        <v>#N/A</v>
      </c>
      <c r="R9" s="5"/>
      <c r="S9" s="5" t="e">
        <f t="shared" ref="S9:S17" si="2">(SUM(K9:N9)*3.2%)</f>
        <v>#N/A</v>
      </c>
      <c r="T9" s="35" t="e">
        <f t="shared" ref="T9:T17" si="3">Q9+S9</f>
        <v>#N/A</v>
      </c>
      <c r="U9" s="35" t="e">
        <f>SUM(K9:N9)*(INPUT!$F$39)+SUM($O9:$P9)*INPUT!$F$54</f>
        <v>#N/A</v>
      </c>
      <c r="V9" s="35" t="e">
        <f t="shared" ref="V9:V17" si="4">SUM(T9,U9)</f>
        <v>#N/A</v>
      </c>
      <c r="W9" s="192">
        <f>LCOE!V9</f>
        <v>87600000</v>
      </c>
      <c r="X9" s="108" t="s">
        <v>68</v>
      </c>
      <c r="Y9" s="38">
        <f t="shared" ref="Y9:Y17" si="5">B9</f>
        <v>2024</v>
      </c>
      <c r="Z9" s="227" t="e">
        <f>V9/W9</f>
        <v>#N/A</v>
      </c>
    </row>
    <row r="10" spans="2:32" x14ac:dyDescent="0.25">
      <c r="B10" s="33">
        <v>2025</v>
      </c>
      <c r="C10" s="33">
        <v>3</v>
      </c>
      <c r="D10" s="34">
        <f>INPUT!$F$26</f>
        <v>0</v>
      </c>
      <c r="E10" s="34">
        <f t="shared" ref="E10:E18" si="6">E9</f>
        <v>0</v>
      </c>
      <c r="F10" s="34">
        <f t="shared" si="0"/>
        <v>0</v>
      </c>
      <c r="G10" s="34">
        <f t="shared" si="0"/>
        <v>0</v>
      </c>
      <c r="H10" s="34" t="e">
        <f>H9*(1+CHOOSE(H$5,INPUT!$D62,INPUT!$E62))</f>
        <v>#N/A</v>
      </c>
      <c r="I10" s="34" t="e">
        <f>I9*(1+CHOOSE(I$5,INPUT!$D62,INPUT!$E62))</f>
        <v>#N/A</v>
      </c>
      <c r="J10" s="34">
        <f>J9*(1+CHOOSE(J$5,INPUT!$E62,INPUT!$F62))</f>
        <v>0</v>
      </c>
      <c r="K10" s="35">
        <f>(W10-data!F7)*D10</f>
        <v>0</v>
      </c>
      <c r="L10" s="35" t="e">
        <f>(W10-data!F7)*(E10+H10)</f>
        <v>#N/A</v>
      </c>
      <c r="M10" s="35" t="e">
        <f>(W10-data!F7)*(F10+I10)</f>
        <v>#N/A</v>
      </c>
      <c r="N10" s="35">
        <f>(W10-data!F7)*(G10+J10)</f>
        <v>0</v>
      </c>
      <c r="O10" s="35">
        <f>(data!F7/2)*INPUT!$F$53</f>
        <v>31225392</v>
      </c>
      <c r="P10" s="35">
        <f t="shared" si="1"/>
        <v>31225392</v>
      </c>
      <c r="Q10" s="35" t="e">
        <f t="shared" ref="Q10:Q18" si="7">SUM($K10:$P10)</f>
        <v>#N/A</v>
      </c>
      <c r="R10" s="5"/>
      <c r="S10" s="5" t="e">
        <f t="shared" si="2"/>
        <v>#N/A</v>
      </c>
      <c r="T10" s="35" t="e">
        <f t="shared" si="3"/>
        <v>#N/A</v>
      </c>
      <c r="U10" s="35" t="e">
        <f>SUM(K10:N10)*(INPUT!$F$39)+SUM($O10:$P10)*INPUT!$F$54</f>
        <v>#N/A</v>
      </c>
      <c r="V10" s="35" t="e">
        <f t="shared" si="4"/>
        <v>#N/A</v>
      </c>
      <c r="W10" s="192">
        <f>LCOE!V10</f>
        <v>96360000</v>
      </c>
      <c r="X10" s="108" t="s">
        <v>69</v>
      </c>
      <c r="Y10" s="38">
        <f t="shared" si="5"/>
        <v>2025</v>
      </c>
      <c r="Z10" s="227" t="e">
        <f t="shared" ref="Z10:Z17" si="8">V10/W10</f>
        <v>#N/A</v>
      </c>
    </row>
    <row r="11" spans="2:32" x14ac:dyDescent="0.25">
      <c r="B11" s="33">
        <v>2026</v>
      </c>
      <c r="C11" s="33">
        <v>4</v>
      </c>
      <c r="D11" s="34">
        <f>INPUT!$F$26</f>
        <v>0</v>
      </c>
      <c r="E11" s="34">
        <f t="shared" si="6"/>
        <v>0</v>
      </c>
      <c r="F11" s="34">
        <f t="shared" si="0"/>
        <v>0</v>
      </c>
      <c r="G11" s="34">
        <f t="shared" si="0"/>
        <v>0</v>
      </c>
      <c r="H11" s="34" t="e">
        <f>H10*(1+CHOOSE(H$5,INPUT!$D63,INPUT!$E63))</f>
        <v>#N/A</v>
      </c>
      <c r="I11" s="34" t="e">
        <f>I10*(1+CHOOSE(I$5,INPUT!$D63,INPUT!$E63))</f>
        <v>#N/A</v>
      </c>
      <c r="J11" s="34">
        <f>J10*(1+CHOOSE(J$5,INPUT!$E63,INPUT!$F63))</f>
        <v>0</v>
      </c>
      <c r="K11" s="35">
        <f>(W11-data!F8)*D11</f>
        <v>0</v>
      </c>
      <c r="L11" s="35" t="e">
        <f>(W11-data!F8)*(E11+H11)</f>
        <v>#N/A</v>
      </c>
      <c r="M11" s="35" t="e">
        <f>(W11-data!F8)*(F11+I11)</f>
        <v>#N/A</v>
      </c>
      <c r="N11" s="35">
        <f>(W11-data!F8)*(G11+J11)</f>
        <v>0</v>
      </c>
      <c r="O11" s="35">
        <f>(data!F8/2)*INPUT!$F$53</f>
        <v>34064064</v>
      </c>
      <c r="P11" s="35">
        <f t="shared" si="1"/>
        <v>34064064</v>
      </c>
      <c r="Q11" s="35" t="e">
        <f t="shared" si="7"/>
        <v>#N/A</v>
      </c>
      <c r="R11" s="5"/>
      <c r="S11" s="5" t="e">
        <f t="shared" si="2"/>
        <v>#N/A</v>
      </c>
      <c r="T11" s="35" t="e">
        <f t="shared" si="3"/>
        <v>#N/A</v>
      </c>
      <c r="U11" s="35" t="e">
        <f>SUM(K11:N11)*(INPUT!$F$39)+SUM($O11:$P11)*INPUT!$F$54</f>
        <v>#N/A</v>
      </c>
      <c r="V11" s="35" t="e">
        <f t="shared" si="4"/>
        <v>#N/A</v>
      </c>
      <c r="W11" s="192">
        <f>LCOE!V11</f>
        <v>105120000</v>
      </c>
      <c r="X11" s="108" t="s">
        <v>70</v>
      </c>
      <c r="Y11" s="38">
        <f t="shared" si="5"/>
        <v>2026</v>
      </c>
      <c r="Z11" s="227" t="e">
        <f t="shared" si="8"/>
        <v>#N/A</v>
      </c>
    </row>
    <row r="12" spans="2:32" x14ac:dyDescent="0.25">
      <c r="B12" s="33">
        <v>2027</v>
      </c>
      <c r="C12" s="33">
        <v>5</v>
      </c>
      <c r="D12" s="34">
        <f>INPUT!$F$26</f>
        <v>0</v>
      </c>
      <c r="E12" s="34">
        <f t="shared" si="6"/>
        <v>0</v>
      </c>
      <c r="F12" s="34">
        <f t="shared" si="0"/>
        <v>0</v>
      </c>
      <c r="G12" s="34">
        <f t="shared" si="0"/>
        <v>0</v>
      </c>
      <c r="H12" s="34" t="e">
        <f>H11*(1+CHOOSE(H$5,INPUT!$D64,INPUT!$E64))</f>
        <v>#N/A</v>
      </c>
      <c r="I12" s="34" t="e">
        <f>I11*(1+CHOOSE(I$5,INPUT!$D64,INPUT!$E64))</f>
        <v>#N/A</v>
      </c>
      <c r="J12" s="34">
        <f>J11*(1+CHOOSE(J$5,INPUT!$E64,INPUT!$F64))</f>
        <v>0</v>
      </c>
      <c r="K12" s="35">
        <f>(W12-data!F9)*D12</f>
        <v>0</v>
      </c>
      <c r="L12" s="35" t="e">
        <f>(W12-data!F9)*(E12+H12)</f>
        <v>#N/A</v>
      </c>
      <c r="M12" s="35" t="e">
        <f>(W12-data!F9)*(F12+I12)</f>
        <v>#N/A</v>
      </c>
      <c r="N12" s="35">
        <f>(W12-data!F9)*(G12+J12)</f>
        <v>0</v>
      </c>
      <c r="O12" s="35">
        <f>(data!F9/2)*INPUT!$F$53</f>
        <v>42580080</v>
      </c>
      <c r="P12" s="35">
        <f t="shared" si="1"/>
        <v>42580080</v>
      </c>
      <c r="Q12" s="35" t="e">
        <f t="shared" si="7"/>
        <v>#N/A</v>
      </c>
      <c r="R12" s="5"/>
      <c r="S12" s="5" t="e">
        <f t="shared" si="2"/>
        <v>#N/A</v>
      </c>
      <c r="T12" s="35" t="e">
        <f t="shared" si="3"/>
        <v>#N/A</v>
      </c>
      <c r="U12" s="35" t="e">
        <f>SUM(K12:N12)*(INPUT!$F$39)+SUM($O12:$P12)*INPUT!$F$54</f>
        <v>#N/A</v>
      </c>
      <c r="V12" s="35" t="e">
        <f t="shared" si="4"/>
        <v>#N/A</v>
      </c>
      <c r="W12" s="192">
        <f>LCOE!V12</f>
        <v>131400000</v>
      </c>
      <c r="X12" s="108" t="s">
        <v>71</v>
      </c>
      <c r="Y12" s="38">
        <f t="shared" si="5"/>
        <v>2027</v>
      </c>
      <c r="Z12" s="227" t="e">
        <f t="shared" si="8"/>
        <v>#N/A</v>
      </c>
    </row>
    <row r="13" spans="2:32" x14ac:dyDescent="0.25">
      <c r="B13" s="33">
        <v>2028</v>
      </c>
      <c r="C13" s="33">
        <v>6</v>
      </c>
      <c r="D13" s="34">
        <f>INPUT!$F$26</f>
        <v>0</v>
      </c>
      <c r="E13" s="34">
        <f t="shared" si="6"/>
        <v>0</v>
      </c>
      <c r="F13" s="34">
        <f t="shared" si="0"/>
        <v>0</v>
      </c>
      <c r="G13" s="34">
        <f t="shared" si="0"/>
        <v>0</v>
      </c>
      <c r="H13" s="34" t="e">
        <f>H12*(1+CHOOSE(H$5,INPUT!$D65,INPUT!$E65))</f>
        <v>#N/A</v>
      </c>
      <c r="I13" s="34" t="e">
        <f>I12*(1+CHOOSE(I$5,INPUT!$D65,INPUT!$E65))</f>
        <v>#N/A</v>
      </c>
      <c r="J13" s="34">
        <f>J12*(1+CHOOSE(J$5,INPUT!$E65,INPUT!$F65))</f>
        <v>0</v>
      </c>
      <c r="K13" s="35">
        <f>(W13-data!F10)*D13</f>
        <v>0</v>
      </c>
      <c r="L13" s="35" t="e">
        <f>(W13-data!F10)*(E13+H13)</f>
        <v>#N/A</v>
      </c>
      <c r="M13" s="35" t="e">
        <f>(W13-data!F10)*(F13+I13)</f>
        <v>#N/A</v>
      </c>
      <c r="N13" s="35">
        <f>(W13-data!F10)*(G13+J13)</f>
        <v>0</v>
      </c>
      <c r="O13" s="35">
        <f>(data!F10/2)*INPUT!$F$53</f>
        <v>45418752</v>
      </c>
      <c r="P13" s="35">
        <f t="shared" si="1"/>
        <v>45418752</v>
      </c>
      <c r="Q13" s="35" t="e">
        <f t="shared" si="7"/>
        <v>#N/A</v>
      </c>
      <c r="R13" s="5"/>
      <c r="S13" s="5" t="e">
        <f t="shared" si="2"/>
        <v>#N/A</v>
      </c>
      <c r="T13" s="35" t="e">
        <f t="shared" si="3"/>
        <v>#N/A</v>
      </c>
      <c r="U13" s="35" t="e">
        <f>SUM(K13:N13)*(INPUT!$F$39)+SUM($O13:$P13)*INPUT!$F$54</f>
        <v>#N/A</v>
      </c>
      <c r="V13" s="35" t="e">
        <f t="shared" si="4"/>
        <v>#N/A</v>
      </c>
      <c r="W13" s="192">
        <f>LCOE!V13</f>
        <v>140160000</v>
      </c>
      <c r="X13" s="108" t="s">
        <v>72</v>
      </c>
      <c r="Y13" s="38">
        <f t="shared" si="5"/>
        <v>2028</v>
      </c>
      <c r="Z13" s="227" t="e">
        <f t="shared" si="8"/>
        <v>#N/A</v>
      </c>
    </row>
    <row r="14" spans="2:32" x14ac:dyDescent="0.25">
      <c r="B14" s="33">
        <v>2029</v>
      </c>
      <c r="C14" s="33">
        <v>7</v>
      </c>
      <c r="D14" s="34">
        <f>INPUT!$F$26</f>
        <v>0</v>
      </c>
      <c r="E14" s="34">
        <f t="shared" si="6"/>
        <v>0</v>
      </c>
      <c r="F14" s="34">
        <f t="shared" si="0"/>
        <v>0</v>
      </c>
      <c r="G14" s="34">
        <f t="shared" si="0"/>
        <v>0</v>
      </c>
      <c r="H14" s="34" t="e">
        <f>H13*(1+CHOOSE(H$5,INPUT!$D66,INPUT!$E66))</f>
        <v>#N/A</v>
      </c>
      <c r="I14" s="34" t="e">
        <f>I13*(1+CHOOSE(I$5,INPUT!$D66,INPUT!$E66))</f>
        <v>#N/A</v>
      </c>
      <c r="J14" s="34">
        <f>J13*(1+CHOOSE(J$5,INPUT!$E66,INPUT!$F66))</f>
        <v>0</v>
      </c>
      <c r="K14" s="35">
        <f>(W14-data!F11)*D14</f>
        <v>0</v>
      </c>
      <c r="L14" s="35" t="e">
        <f>(W14-data!F11)*(E14+H14)</f>
        <v>#N/A</v>
      </c>
      <c r="M14" s="35" t="e">
        <f>(W14-data!F11)*(F14+I14)</f>
        <v>#N/A</v>
      </c>
      <c r="N14" s="35">
        <f>(W14-data!F11)*(G14+J14)</f>
        <v>0</v>
      </c>
      <c r="O14" s="35">
        <f>(data!F11/2)*INPUT!$F$53</f>
        <v>48257424</v>
      </c>
      <c r="P14" s="35">
        <f t="shared" si="1"/>
        <v>48257424</v>
      </c>
      <c r="Q14" s="35" t="e">
        <f t="shared" si="7"/>
        <v>#N/A</v>
      </c>
      <c r="R14" s="5"/>
      <c r="S14" s="5" t="e">
        <f t="shared" si="2"/>
        <v>#N/A</v>
      </c>
      <c r="T14" s="35" t="e">
        <f t="shared" si="3"/>
        <v>#N/A</v>
      </c>
      <c r="U14" s="35" t="e">
        <f>SUM(K14:N14)*(INPUT!$F$39)+SUM($O14:$P14)*INPUT!$F$54</f>
        <v>#N/A</v>
      </c>
      <c r="V14" s="35" t="e">
        <f t="shared" si="4"/>
        <v>#N/A</v>
      </c>
      <c r="W14" s="192">
        <f>LCOE!V14</f>
        <v>148920000</v>
      </c>
      <c r="X14" s="108" t="s">
        <v>73</v>
      </c>
      <c r="Y14" s="38">
        <f t="shared" si="5"/>
        <v>2029</v>
      </c>
      <c r="Z14" s="227" t="e">
        <f t="shared" si="8"/>
        <v>#N/A</v>
      </c>
    </row>
    <row r="15" spans="2:32" x14ac:dyDescent="0.25">
      <c r="B15" s="33">
        <v>2030</v>
      </c>
      <c r="C15" s="33">
        <v>8</v>
      </c>
      <c r="D15" s="34">
        <f>INPUT!$F$26</f>
        <v>0</v>
      </c>
      <c r="E15" s="34">
        <f t="shared" si="6"/>
        <v>0</v>
      </c>
      <c r="F15" s="34">
        <f t="shared" si="0"/>
        <v>0</v>
      </c>
      <c r="G15" s="34">
        <f t="shared" si="0"/>
        <v>0</v>
      </c>
      <c r="H15" s="34" t="e">
        <f>H14*(1+CHOOSE(H$5,INPUT!$D67,INPUT!$E67))</f>
        <v>#N/A</v>
      </c>
      <c r="I15" s="34" t="e">
        <f>I14*(1+CHOOSE(I$5,INPUT!$D67,INPUT!$E67))</f>
        <v>#N/A</v>
      </c>
      <c r="J15" s="34">
        <f>J14*(1+CHOOSE(J$5,INPUT!$E67,INPUT!$F67))</f>
        <v>0</v>
      </c>
      <c r="K15" s="35">
        <f>(W15-data!F12)*D15</f>
        <v>0</v>
      </c>
      <c r="L15" s="35" t="e">
        <f>(W15-data!F12)*(E15+H15)</f>
        <v>#N/A</v>
      </c>
      <c r="M15" s="35" t="e">
        <f>(W15-data!F12)*(F15+I15)</f>
        <v>#N/A</v>
      </c>
      <c r="N15" s="35">
        <f>(W15-data!F12)*(G15+J15)</f>
        <v>0</v>
      </c>
      <c r="O15" s="35">
        <f>(data!F12/2)*INPUT!$F$53</f>
        <v>48257424</v>
      </c>
      <c r="P15" s="35">
        <f t="shared" si="1"/>
        <v>48257424</v>
      </c>
      <c r="Q15" s="35" t="e">
        <f t="shared" si="7"/>
        <v>#N/A</v>
      </c>
      <c r="R15" s="5"/>
      <c r="S15" s="5" t="e">
        <f t="shared" si="2"/>
        <v>#N/A</v>
      </c>
      <c r="T15" s="35" t="e">
        <f t="shared" si="3"/>
        <v>#N/A</v>
      </c>
      <c r="U15" s="35" t="e">
        <f>SUM(K15:N15)*(INPUT!$F$39)+SUM($O15:$P15)*INPUT!$F$54</f>
        <v>#N/A</v>
      </c>
      <c r="V15" s="35" t="e">
        <f t="shared" si="4"/>
        <v>#N/A</v>
      </c>
      <c r="W15" s="192">
        <f>LCOE!V15</f>
        <v>148920000</v>
      </c>
      <c r="X15" s="108" t="s">
        <v>74</v>
      </c>
      <c r="Y15" s="38">
        <f t="shared" si="5"/>
        <v>2030</v>
      </c>
      <c r="Z15" s="227" t="e">
        <f t="shared" si="8"/>
        <v>#N/A</v>
      </c>
    </row>
    <row r="16" spans="2:32" x14ac:dyDescent="0.25">
      <c r="B16" s="33">
        <v>2031</v>
      </c>
      <c r="C16" s="33">
        <v>9</v>
      </c>
      <c r="D16" s="34">
        <f>INPUT!$F$26</f>
        <v>0</v>
      </c>
      <c r="E16" s="34">
        <f t="shared" si="6"/>
        <v>0</v>
      </c>
      <c r="F16" s="34">
        <f t="shared" si="0"/>
        <v>0</v>
      </c>
      <c r="G16" s="34">
        <f t="shared" si="0"/>
        <v>0</v>
      </c>
      <c r="H16" s="34" t="e">
        <f>H15*(1+CHOOSE(H$5,INPUT!$D68,INPUT!$E68))</f>
        <v>#N/A</v>
      </c>
      <c r="I16" s="34" t="e">
        <f>I15*(1+CHOOSE(I$5,INPUT!$D68,INPUT!$E68))</f>
        <v>#N/A</v>
      </c>
      <c r="J16" s="34">
        <f>J15*(1+CHOOSE(J$5,INPUT!$E68,INPUT!$F68))</f>
        <v>0</v>
      </c>
      <c r="K16" s="35">
        <f>(W16-data!F13)*D16</f>
        <v>0</v>
      </c>
      <c r="L16" s="35" t="e">
        <f>(W16-data!F13)*(E16+H16)</f>
        <v>#N/A</v>
      </c>
      <c r="M16" s="35" t="e">
        <f>(W16-data!F13)*(F16+I16)</f>
        <v>#N/A</v>
      </c>
      <c r="N16" s="35">
        <f>(W16-data!F13)*(G16+J16)</f>
        <v>0</v>
      </c>
      <c r="O16" s="35">
        <f>(data!F13/2)*INPUT!$F$53</f>
        <v>48257424</v>
      </c>
      <c r="P16" s="35">
        <f t="shared" si="1"/>
        <v>48257424</v>
      </c>
      <c r="Q16" s="35" t="e">
        <f t="shared" si="7"/>
        <v>#N/A</v>
      </c>
      <c r="R16" s="5"/>
      <c r="S16" s="5" t="e">
        <f t="shared" si="2"/>
        <v>#N/A</v>
      </c>
      <c r="T16" s="35" t="e">
        <f t="shared" si="3"/>
        <v>#N/A</v>
      </c>
      <c r="U16" s="35" t="e">
        <f>SUM(K16:N16)*(INPUT!$F$39)+SUM($O16:$P16)*INPUT!$F$54</f>
        <v>#N/A</v>
      </c>
      <c r="V16" s="35" t="e">
        <f t="shared" si="4"/>
        <v>#N/A</v>
      </c>
      <c r="W16" s="192">
        <f>LCOE!V16</f>
        <v>148920000</v>
      </c>
      <c r="X16" s="108" t="s">
        <v>75</v>
      </c>
      <c r="Y16" s="38">
        <f t="shared" si="5"/>
        <v>2031</v>
      </c>
      <c r="Z16" s="227" t="e">
        <f t="shared" si="8"/>
        <v>#N/A</v>
      </c>
      <c r="AA16" s="231"/>
      <c r="AB16" s="231"/>
      <c r="AC16" s="231"/>
      <c r="AD16" s="231"/>
      <c r="AE16" s="231"/>
      <c r="AF16" s="231"/>
    </row>
    <row r="17" spans="2:32" x14ac:dyDescent="0.25">
      <c r="B17" s="33">
        <v>2032</v>
      </c>
      <c r="C17" s="33">
        <v>10</v>
      </c>
      <c r="D17" s="34">
        <f>INPUT!$F$26</f>
        <v>0</v>
      </c>
      <c r="E17" s="34">
        <f t="shared" si="6"/>
        <v>0</v>
      </c>
      <c r="F17" s="34">
        <f t="shared" si="0"/>
        <v>0</v>
      </c>
      <c r="G17" s="34">
        <f t="shared" si="0"/>
        <v>0</v>
      </c>
      <c r="H17" s="34" t="e">
        <f>H16*(1+CHOOSE(H$5,INPUT!$D69,INPUT!$E69))</f>
        <v>#N/A</v>
      </c>
      <c r="I17" s="34" t="e">
        <f>I16*(1+CHOOSE(I$5,INPUT!$D69,INPUT!$E69))</f>
        <v>#N/A</v>
      </c>
      <c r="J17" s="34">
        <f>J16*(1+CHOOSE(J$5,INPUT!$E69,INPUT!$F69))</f>
        <v>0</v>
      </c>
      <c r="K17" s="35">
        <f>(W17-data!F14)*D17</f>
        <v>0</v>
      </c>
      <c r="L17" s="35" t="e">
        <f>(W17-data!F14)*(E17+H17)</f>
        <v>#N/A</v>
      </c>
      <c r="M17" s="35" t="e">
        <f>(W17-data!F14)*(F17+I17)</f>
        <v>#N/A</v>
      </c>
      <c r="N17" s="35">
        <f>(W17-data!F14)*(G17+J17)</f>
        <v>0</v>
      </c>
      <c r="O17" s="35">
        <f>(data!F14/2)*INPUT!$F$53</f>
        <v>51096096</v>
      </c>
      <c r="P17" s="35">
        <f t="shared" si="1"/>
        <v>51096096</v>
      </c>
      <c r="Q17" s="35" t="e">
        <f t="shared" si="7"/>
        <v>#N/A</v>
      </c>
      <c r="R17" s="5"/>
      <c r="S17" s="5" t="e">
        <f t="shared" si="2"/>
        <v>#N/A</v>
      </c>
      <c r="T17" s="35" t="e">
        <f t="shared" si="3"/>
        <v>#N/A</v>
      </c>
      <c r="U17" s="35" t="e">
        <f>SUM(K17:N17)*(INPUT!$F$39)+SUM($O17:$P17)*INPUT!$F$54</f>
        <v>#N/A</v>
      </c>
      <c r="V17" s="35" t="e">
        <f t="shared" si="4"/>
        <v>#N/A</v>
      </c>
      <c r="W17" s="192">
        <f>LCOE!V17</f>
        <v>157680000</v>
      </c>
      <c r="X17" s="108" t="s">
        <v>76</v>
      </c>
      <c r="Y17" s="38">
        <f t="shared" si="5"/>
        <v>2032</v>
      </c>
      <c r="Z17" s="227" t="e">
        <f t="shared" si="8"/>
        <v>#N/A</v>
      </c>
      <c r="AA17" s="231"/>
      <c r="AB17" s="231"/>
      <c r="AC17" s="231"/>
      <c r="AD17" s="231"/>
      <c r="AE17" s="231"/>
      <c r="AF17" s="231"/>
    </row>
    <row r="18" spans="2:32" x14ac:dyDescent="0.25">
      <c r="B18" s="33">
        <v>2033</v>
      </c>
      <c r="C18" s="33">
        <v>11</v>
      </c>
      <c r="D18" s="34">
        <f>INPUT!$F$26</f>
        <v>0</v>
      </c>
      <c r="E18" s="34">
        <f t="shared" si="6"/>
        <v>0</v>
      </c>
      <c r="F18" s="34">
        <f t="shared" si="0"/>
        <v>0</v>
      </c>
      <c r="G18" s="34">
        <f t="shared" si="0"/>
        <v>0</v>
      </c>
      <c r="H18" s="34" t="e">
        <f>H17*(1+CHOOSE(H$5,INPUT!$D70,INPUT!$E70))</f>
        <v>#N/A</v>
      </c>
      <c r="I18" s="34" t="e">
        <f>I17*(1+CHOOSE(I$5,INPUT!$D70,INPUT!$E70))</f>
        <v>#N/A</v>
      </c>
      <c r="J18" s="34">
        <f>J17*(1+CHOOSE(J$5,INPUT!$E70,INPUT!$F70))</f>
        <v>0</v>
      </c>
      <c r="K18" s="35">
        <f>(W18-data!F15)*D18</f>
        <v>0</v>
      </c>
      <c r="L18" s="35" t="e">
        <f>(W18-data!F15)*(E18+H18)</f>
        <v>#N/A</v>
      </c>
      <c r="M18" s="35" t="e">
        <f>(W18-data!F15)*(F18+I18)</f>
        <v>#N/A</v>
      </c>
      <c r="N18" s="35">
        <f>(W18-data!F15)*(G18+J18)</f>
        <v>0</v>
      </c>
      <c r="O18" s="35">
        <f>(data!F15/2)*INPUT!$F$53</f>
        <v>2838672</v>
      </c>
      <c r="P18" s="35">
        <f t="shared" ref="P18" si="9">O18</f>
        <v>2838672</v>
      </c>
      <c r="Q18" s="35" t="e">
        <f t="shared" si="7"/>
        <v>#N/A</v>
      </c>
      <c r="R18" s="5"/>
      <c r="S18" s="5" t="e">
        <f t="shared" ref="S18" si="10">(SUM(K18:N18)*3.2%)</f>
        <v>#N/A</v>
      </c>
      <c r="T18" s="35" t="e">
        <f t="shared" ref="T18" si="11">Q18+S18</f>
        <v>#N/A</v>
      </c>
      <c r="U18" s="35" t="e">
        <f>SUM(K18:N18)*(INPUT!$F$39)+SUM($O18:$P18)*INPUT!$F$54</f>
        <v>#N/A</v>
      </c>
      <c r="V18" s="35" t="e">
        <f t="shared" ref="V18" si="12">SUM(T18,U18)</f>
        <v>#N/A</v>
      </c>
      <c r="W18" s="192">
        <f>LCOE!V18</f>
        <v>8760000</v>
      </c>
      <c r="X18" s="193" t="s">
        <v>138</v>
      </c>
      <c r="Y18" s="194">
        <f t="shared" ref="Y18" si="13">B18</f>
        <v>2033</v>
      </c>
      <c r="Z18" s="228" t="e">
        <f t="shared" ref="Z18" si="14">V18/W18</f>
        <v>#N/A</v>
      </c>
      <c r="AA18" s="231"/>
      <c r="AB18" s="231"/>
      <c r="AC18" s="231"/>
      <c r="AD18" s="231"/>
      <c r="AE18" s="231"/>
      <c r="AF18" s="231"/>
    </row>
    <row r="19" spans="2:32" ht="15.6" x14ac:dyDescent="0.25">
      <c r="I19" s="24"/>
      <c r="J19" s="24"/>
      <c r="K19" s="24"/>
      <c r="L19" s="24"/>
      <c r="M19" s="24"/>
      <c r="N19" s="24"/>
      <c r="T19" s="290" t="s">
        <v>26</v>
      </c>
      <c r="U19" s="291"/>
      <c r="V19" s="295" t="e">
        <f>SUM(V8:V18)/SUM(W8:W18)</f>
        <v>#N/A</v>
      </c>
      <c r="W19" s="296"/>
      <c r="X19" s="37"/>
      <c r="AA19" s="231"/>
      <c r="AB19" s="231"/>
      <c r="AC19" s="231"/>
      <c r="AD19" s="231"/>
      <c r="AE19" s="231"/>
      <c r="AF19" s="231"/>
    </row>
    <row r="20" spans="2:32" ht="15.6" hidden="1" x14ac:dyDescent="0.25">
      <c r="B20" s="39"/>
      <c r="C20" s="24"/>
      <c r="D20" s="24"/>
      <c r="E20" s="24"/>
      <c r="F20" s="24"/>
      <c r="G20" s="24"/>
      <c r="H20" s="24"/>
      <c r="V20" s="191" t="e">
        <f>V19</f>
        <v>#N/A</v>
      </c>
      <c r="W20" s="38"/>
      <c r="X20" s="38"/>
      <c r="AA20" s="235"/>
      <c r="AB20" s="235"/>
      <c r="AC20" s="235"/>
      <c r="AD20" s="231"/>
      <c r="AE20" s="231"/>
      <c r="AF20" s="231"/>
    </row>
    <row r="21" spans="2:32" hidden="1" x14ac:dyDescent="0.25">
      <c r="B21" s="292" t="s">
        <v>17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4"/>
      <c r="R21" s="287" t="s">
        <v>62</v>
      </c>
      <c r="S21" s="287" t="s">
        <v>92</v>
      </c>
      <c r="T21" s="287" t="s">
        <v>93</v>
      </c>
      <c r="U21" s="287" t="s">
        <v>60</v>
      </c>
      <c r="V21" s="287" t="s">
        <v>45</v>
      </c>
      <c r="W21" s="287" t="s">
        <v>123</v>
      </c>
      <c r="X21" s="26"/>
      <c r="Y21" s="26"/>
      <c r="Z21" s="26"/>
      <c r="AA21" s="235"/>
      <c r="AB21" s="235"/>
      <c r="AC21" s="235"/>
      <c r="AD21" s="231"/>
      <c r="AE21" s="231"/>
      <c r="AF21" s="231"/>
    </row>
    <row r="22" spans="2:32" hidden="1" x14ac:dyDescent="0.25">
      <c r="B22" s="297" t="s">
        <v>18</v>
      </c>
      <c r="C22" s="297" t="s">
        <v>19</v>
      </c>
      <c r="D22" s="213"/>
      <c r="E22" s="213"/>
      <c r="F22" s="213"/>
      <c r="G22" s="213"/>
      <c r="H22" s="28">
        <f>INPUT!I44</f>
        <v>0</v>
      </c>
      <c r="I22" s="28">
        <f>INPUT!I45</f>
        <v>0</v>
      </c>
      <c r="J22" s="28">
        <f>INPUT!I46</f>
        <v>0</v>
      </c>
      <c r="K22" s="287" t="s">
        <v>20</v>
      </c>
      <c r="L22" s="287" t="s">
        <v>21</v>
      </c>
      <c r="M22" s="287" t="s">
        <v>22</v>
      </c>
      <c r="N22" s="287" t="s">
        <v>23</v>
      </c>
      <c r="O22" s="287" t="s">
        <v>24</v>
      </c>
      <c r="P22" s="287" t="s">
        <v>25</v>
      </c>
      <c r="Q22" s="287" t="s">
        <v>63</v>
      </c>
      <c r="R22" s="288"/>
      <c r="S22" s="288"/>
      <c r="T22" s="288"/>
      <c r="U22" s="288"/>
      <c r="V22" s="288"/>
      <c r="W22" s="288"/>
      <c r="X22" s="26"/>
      <c r="Y22" s="26"/>
      <c r="Z22" s="26"/>
      <c r="AA22" s="235"/>
      <c r="AB22" s="235"/>
      <c r="AC22" s="235"/>
      <c r="AD22" s="231"/>
      <c r="AE22" s="231"/>
      <c r="AF22" s="231"/>
    </row>
    <row r="23" spans="2:32" ht="26.4" hidden="1" x14ac:dyDescent="0.25">
      <c r="B23" s="298"/>
      <c r="C23" s="298"/>
      <c r="D23" s="214" t="s">
        <v>39</v>
      </c>
      <c r="E23" s="30" t="s">
        <v>54</v>
      </c>
      <c r="F23" s="30" t="s">
        <v>55</v>
      </c>
      <c r="G23" s="30" t="s">
        <v>56</v>
      </c>
      <c r="H23" s="30" t="s">
        <v>51</v>
      </c>
      <c r="I23" s="30" t="s">
        <v>52</v>
      </c>
      <c r="J23" s="30" t="s">
        <v>53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6"/>
      <c r="Y23" s="26"/>
      <c r="Z23" s="26"/>
      <c r="AA23" s="235"/>
      <c r="AB23" s="236">
        <v>2.1983505534246106E-2</v>
      </c>
      <c r="AC23" s="235"/>
      <c r="AD23" s="231"/>
      <c r="AE23" s="231"/>
      <c r="AF23" s="231"/>
    </row>
    <row r="24" spans="2:32" hidden="1" x14ac:dyDescent="0.25">
      <c r="B24" s="214"/>
      <c r="C24" s="214"/>
      <c r="D24" s="31" t="s">
        <v>57</v>
      </c>
      <c r="E24" s="31" t="s">
        <v>57</v>
      </c>
      <c r="F24" s="31" t="s">
        <v>57</v>
      </c>
      <c r="G24" s="31" t="s">
        <v>57</v>
      </c>
      <c r="H24" s="31" t="s">
        <v>57</v>
      </c>
      <c r="I24" s="31" t="s">
        <v>57</v>
      </c>
      <c r="J24" s="31" t="s">
        <v>57</v>
      </c>
      <c r="K24" s="32" t="s">
        <v>58</v>
      </c>
      <c r="L24" s="32" t="s">
        <v>58</v>
      </c>
      <c r="M24" s="32" t="s">
        <v>58</v>
      </c>
      <c r="N24" s="32" t="s">
        <v>58</v>
      </c>
      <c r="O24" s="32" t="s">
        <v>58</v>
      </c>
      <c r="P24" s="32" t="s">
        <v>58</v>
      </c>
      <c r="Q24" s="32" t="s">
        <v>58</v>
      </c>
      <c r="R24" s="32"/>
      <c r="S24" s="32" t="s">
        <v>58</v>
      </c>
      <c r="T24" s="32" t="s">
        <v>58</v>
      </c>
      <c r="U24" s="32" t="s">
        <v>58</v>
      </c>
      <c r="V24" s="32" t="s">
        <v>58</v>
      </c>
      <c r="W24" s="32" t="s">
        <v>59</v>
      </c>
      <c r="X24" s="26"/>
      <c r="Y24" s="26"/>
      <c r="Z24" s="26"/>
      <c r="AA24" s="235"/>
      <c r="AB24" s="235"/>
      <c r="AC24" s="235"/>
      <c r="AD24" s="231"/>
      <c r="AE24" s="231"/>
      <c r="AF24" s="231"/>
    </row>
    <row r="25" spans="2:32" hidden="1" x14ac:dyDescent="0.25">
      <c r="B25" s="33">
        <v>2023</v>
      </c>
      <c r="C25" s="33">
        <v>1</v>
      </c>
      <c r="D25" s="34">
        <f>OUTPUT_C!$D$32</f>
        <v>0</v>
      </c>
      <c r="E25" s="34">
        <f>OUTPUT_C!$D$33</f>
        <v>0</v>
      </c>
      <c r="F25" s="34">
        <f>OUTPUT_C!$D$34</f>
        <v>0</v>
      </c>
      <c r="G25" s="34" t="e">
        <f>INPUT!F46*(1-INPUT!G46)</f>
        <v>#VALUE!</v>
      </c>
      <c r="H25" s="34"/>
      <c r="I25" s="34"/>
      <c r="J25" s="34" t="e">
        <f>INPUT!F46*INPUT!G46</f>
        <v>#VALUE!</v>
      </c>
      <c r="K25" s="35">
        <f>(W25-data!F22)*D25</f>
        <v>0</v>
      </c>
      <c r="L25" s="35">
        <f>(W25-data!F22)*(E25+$H25)</f>
        <v>0</v>
      </c>
      <c r="M25" s="35">
        <f>(W25-data!F22)*(F25+I25)</f>
        <v>0</v>
      </c>
      <c r="N25" s="35" t="e">
        <f>(W25-data!F22)*(G25+J25)</f>
        <v>#VALUE!</v>
      </c>
      <c r="O25" s="35"/>
      <c r="P25" s="35"/>
      <c r="Q25" s="35">
        <f>SUM(K25,L25,M25,O25,P25)</f>
        <v>0</v>
      </c>
      <c r="R25" s="5"/>
      <c r="S25" s="35">
        <f>(SUM(K25,L25,M25)*3.2%)</f>
        <v>0</v>
      </c>
      <c r="T25" s="35">
        <f>Q25+S25</f>
        <v>0</v>
      </c>
      <c r="U25" s="222">
        <f>SUM(K25,L25,M25)*(INPUT!$F$39)+SUM(O25,P25)*INPUT!$F$54</f>
        <v>0</v>
      </c>
      <c r="V25" s="35">
        <f>SUM(T25,U25)</f>
        <v>0</v>
      </c>
      <c r="W25" s="192">
        <f>W8</f>
        <v>26280000</v>
      </c>
      <c r="X25" s="107" t="s">
        <v>67</v>
      </c>
      <c r="Y25" s="36">
        <f>B25</f>
        <v>2023</v>
      </c>
      <c r="Z25" s="234">
        <f>(V25/W25)-$AB$23</f>
        <v>-2.1983505534246106E-2</v>
      </c>
      <c r="AA25" s="237">
        <f>OUTPUT_C!D36</f>
        <v>0</v>
      </c>
      <c r="AB25" s="235"/>
      <c r="AC25" s="235"/>
      <c r="AD25" s="231"/>
      <c r="AE25" s="231"/>
      <c r="AF25" s="231"/>
    </row>
    <row r="26" spans="2:32" hidden="1" x14ac:dyDescent="0.25">
      <c r="B26" s="33">
        <v>2024</v>
      </c>
      <c r="C26" s="33">
        <v>2</v>
      </c>
      <c r="D26" s="34">
        <f>OUTPUT_C!$D$32</f>
        <v>0</v>
      </c>
      <c r="E26" s="34">
        <f>OUTPUT_C!$D$33</f>
        <v>0</v>
      </c>
      <c r="F26" s="34">
        <f>AA26-SUM(D26:E26)</f>
        <v>0</v>
      </c>
      <c r="G26" s="34" t="e">
        <f>G25/SUM($D$25:$F$25)*$AA$25</f>
        <v>#VALUE!</v>
      </c>
      <c r="H26" s="34"/>
      <c r="I26" s="34"/>
      <c r="J26" s="34" t="e">
        <f>J25*(1+CHOOSE(J$5,INPUT!$E78,INPUT!$F78))</f>
        <v>#VALUE!</v>
      </c>
      <c r="K26" s="35">
        <f>(W26-data!F23)*D26</f>
        <v>0</v>
      </c>
      <c r="L26" s="35">
        <f>(W26-data!F23)*(E26+H26)</f>
        <v>0</v>
      </c>
      <c r="M26" s="35">
        <f>(W26-data!F23)*(F26+I26)</f>
        <v>0</v>
      </c>
      <c r="N26" s="35" t="e">
        <f>(W26-data!F23)*(G26+J26)</f>
        <v>#VALUE!</v>
      </c>
      <c r="O26" s="35"/>
      <c r="P26" s="35"/>
      <c r="Q26" s="35">
        <f t="shared" ref="Q26:Q35" si="15">SUM(K26,L26,M26,O26,P26)</f>
        <v>0</v>
      </c>
      <c r="R26" s="5"/>
      <c r="S26" s="35">
        <f t="shared" ref="S26:S35" si="16">(SUM(K26,L26,M26)*3.2%)</f>
        <v>0</v>
      </c>
      <c r="T26" s="35">
        <f t="shared" ref="T26:T35" si="17">Q26+S26</f>
        <v>0</v>
      </c>
      <c r="U26" s="222">
        <f>SUM(K26,L26,M26)*(INPUT!$F$39)+SUM(O26,P26)*INPUT!$F$54</f>
        <v>0</v>
      </c>
      <c r="V26" s="35">
        <f t="shared" ref="V26:V35" si="18">SUM(T26,U26)</f>
        <v>0</v>
      </c>
      <c r="W26" s="192">
        <f t="shared" ref="W26:W35" si="19">W9</f>
        <v>87600000</v>
      </c>
      <c r="X26" s="108" t="s">
        <v>68</v>
      </c>
      <c r="Y26" s="38">
        <f t="shared" ref="Y26:Y35" si="20">B26</f>
        <v>2024</v>
      </c>
      <c r="Z26" s="234">
        <f t="shared" ref="Z26:Z35" si="21">(V26/W26)-$AB$23</f>
        <v>-2.1983505534246106E-2</v>
      </c>
      <c r="AA26" s="237">
        <f>OUTPUT_C!E36</f>
        <v>0</v>
      </c>
      <c r="AB26" s="237"/>
      <c r="AC26" s="235"/>
      <c r="AD26" s="231"/>
      <c r="AE26" s="231"/>
      <c r="AF26" s="231"/>
    </row>
    <row r="27" spans="2:32" hidden="1" x14ac:dyDescent="0.25">
      <c r="B27" s="33">
        <v>2025</v>
      </c>
      <c r="C27" s="33">
        <v>3</v>
      </c>
      <c r="D27" s="34">
        <f>OUTPUT_C!$D$32</f>
        <v>0</v>
      </c>
      <c r="E27" s="34">
        <f>OUTPUT_C!$D$33</f>
        <v>0</v>
      </c>
      <c r="F27" s="34">
        <f t="shared" ref="F27:F35" si="22">AA27-SUM(D27:E27)</f>
        <v>0</v>
      </c>
      <c r="G27" s="34" t="e">
        <f t="shared" ref="G27:G35" si="23">G26</f>
        <v>#VALUE!</v>
      </c>
      <c r="H27" s="34"/>
      <c r="I27" s="34"/>
      <c r="J27" s="34" t="e">
        <f>J26*(1+CHOOSE(J$5,INPUT!$E79,INPUT!$F79))</f>
        <v>#VALUE!</v>
      </c>
      <c r="K27" s="35">
        <f>(W27-data!F24)*D27</f>
        <v>0</v>
      </c>
      <c r="L27" s="35">
        <f>(W27-data!F24)*(E27+H27)</f>
        <v>0</v>
      </c>
      <c r="M27" s="35">
        <f>(W27-data!F24)*(F27+I27)</f>
        <v>0</v>
      </c>
      <c r="N27" s="35" t="e">
        <f>(W27-data!F24)*(G27+J27)</f>
        <v>#VALUE!</v>
      </c>
      <c r="O27" s="35"/>
      <c r="P27" s="35"/>
      <c r="Q27" s="35">
        <f t="shared" si="15"/>
        <v>0</v>
      </c>
      <c r="R27" s="5"/>
      <c r="S27" s="35">
        <f>(SUM(K27,L27,M27)*3.2%)</f>
        <v>0</v>
      </c>
      <c r="T27" s="35">
        <f t="shared" si="17"/>
        <v>0</v>
      </c>
      <c r="U27" s="222">
        <f>SUM(K27,L27,M27)*(INPUT!$F$39)+SUM(O27,P27)*INPUT!$F$54</f>
        <v>0</v>
      </c>
      <c r="V27" s="35">
        <f t="shared" si="18"/>
        <v>0</v>
      </c>
      <c r="W27" s="192">
        <f t="shared" si="19"/>
        <v>96360000</v>
      </c>
      <c r="X27" s="108" t="s">
        <v>69</v>
      </c>
      <c r="Y27" s="38">
        <f t="shared" si="20"/>
        <v>2025</v>
      </c>
      <c r="Z27" s="234">
        <f t="shared" si="21"/>
        <v>-2.1983505534246106E-2</v>
      </c>
      <c r="AA27" s="237">
        <f>OUTPUT_C!F36</f>
        <v>0</v>
      </c>
      <c r="AB27" s="237"/>
      <c r="AC27" s="235"/>
      <c r="AD27" s="231"/>
      <c r="AE27" s="231"/>
      <c r="AF27" s="231"/>
    </row>
    <row r="28" spans="2:32" hidden="1" x14ac:dyDescent="0.25">
      <c r="B28" s="33">
        <v>2026</v>
      </c>
      <c r="C28" s="33">
        <v>4</v>
      </c>
      <c r="D28" s="34">
        <f>OUTPUT_C!$D$32</f>
        <v>0</v>
      </c>
      <c r="E28" s="34">
        <f>OUTPUT_C!$D$33</f>
        <v>0</v>
      </c>
      <c r="F28" s="34">
        <f t="shared" si="22"/>
        <v>0</v>
      </c>
      <c r="G28" s="34" t="e">
        <f t="shared" si="23"/>
        <v>#VALUE!</v>
      </c>
      <c r="H28" s="34"/>
      <c r="I28" s="34"/>
      <c r="J28" s="34" t="e">
        <f>J27*(1+CHOOSE(J$5,INPUT!$E80,INPUT!$F80))</f>
        <v>#VALUE!</v>
      </c>
      <c r="K28" s="35">
        <f>(W28-data!F25)*D28</f>
        <v>0</v>
      </c>
      <c r="L28" s="35">
        <f>(W28-data!F25)*(E28+H28)</f>
        <v>0</v>
      </c>
      <c r="M28" s="35">
        <f>(W28-data!F25)*(F28+I28)</f>
        <v>0</v>
      </c>
      <c r="N28" s="35" t="e">
        <f>(W28-data!F25)*(G28+J28)</f>
        <v>#VALUE!</v>
      </c>
      <c r="O28" s="35"/>
      <c r="P28" s="35"/>
      <c r="Q28" s="35">
        <f t="shared" si="15"/>
        <v>0</v>
      </c>
      <c r="R28" s="5"/>
      <c r="S28" s="35">
        <f t="shared" si="16"/>
        <v>0</v>
      </c>
      <c r="T28" s="35">
        <f t="shared" si="17"/>
        <v>0</v>
      </c>
      <c r="U28" s="222">
        <f>SUM(K28,L28,M28)*(INPUT!$F$39)+SUM(O28,P28)*INPUT!$F$54</f>
        <v>0</v>
      </c>
      <c r="V28" s="35">
        <f t="shared" si="18"/>
        <v>0</v>
      </c>
      <c r="W28" s="192">
        <f t="shared" si="19"/>
        <v>105120000</v>
      </c>
      <c r="X28" s="108" t="s">
        <v>70</v>
      </c>
      <c r="Y28" s="38">
        <f t="shared" si="20"/>
        <v>2026</v>
      </c>
      <c r="Z28" s="234">
        <f t="shared" si="21"/>
        <v>-2.1983505534246106E-2</v>
      </c>
      <c r="AA28" s="237">
        <f>OUTPUT_C!G36</f>
        <v>0</v>
      </c>
      <c r="AB28" s="237"/>
      <c r="AC28" s="235"/>
      <c r="AD28" s="231"/>
      <c r="AE28" s="231"/>
      <c r="AF28" s="231"/>
    </row>
    <row r="29" spans="2:32" hidden="1" x14ac:dyDescent="0.25">
      <c r="B29" s="33">
        <v>2027</v>
      </c>
      <c r="C29" s="33">
        <v>5</v>
      </c>
      <c r="D29" s="34">
        <f>OUTPUT_C!$D$32</f>
        <v>0</v>
      </c>
      <c r="E29" s="34">
        <f>OUTPUT_C!$D$33</f>
        <v>0</v>
      </c>
      <c r="F29" s="34">
        <f t="shared" si="22"/>
        <v>0</v>
      </c>
      <c r="G29" s="34" t="e">
        <f t="shared" si="23"/>
        <v>#VALUE!</v>
      </c>
      <c r="H29" s="34"/>
      <c r="I29" s="34"/>
      <c r="J29" s="34" t="e">
        <f>J28*(1+CHOOSE(J$5,INPUT!$E81,INPUT!$F81))</f>
        <v>#VALUE!</v>
      </c>
      <c r="K29" s="35">
        <f>(W29-data!F26)*D29</f>
        <v>0</v>
      </c>
      <c r="L29" s="35">
        <f>(W29-data!F26)*(E29+H29)</f>
        <v>0</v>
      </c>
      <c r="M29" s="35">
        <f>(W29-data!F26)*(F29+I29)</f>
        <v>0</v>
      </c>
      <c r="N29" s="35" t="e">
        <f>(W29-data!F26)*(G29+J29)</f>
        <v>#VALUE!</v>
      </c>
      <c r="O29" s="35"/>
      <c r="P29" s="35"/>
      <c r="Q29" s="35">
        <f t="shared" si="15"/>
        <v>0</v>
      </c>
      <c r="R29" s="5"/>
      <c r="S29" s="35">
        <f t="shared" si="16"/>
        <v>0</v>
      </c>
      <c r="T29" s="35">
        <f t="shared" si="17"/>
        <v>0</v>
      </c>
      <c r="U29" s="222">
        <f>SUM(K29,L29,M29)*(INPUT!$F$39)+SUM(O29,P29)*INPUT!$F$54</f>
        <v>0</v>
      </c>
      <c r="V29" s="35">
        <f t="shared" si="18"/>
        <v>0</v>
      </c>
      <c r="W29" s="192">
        <f t="shared" si="19"/>
        <v>131400000</v>
      </c>
      <c r="X29" s="108" t="s">
        <v>71</v>
      </c>
      <c r="Y29" s="38">
        <f t="shared" si="20"/>
        <v>2027</v>
      </c>
      <c r="Z29" s="234">
        <f t="shared" si="21"/>
        <v>-2.1983505534246106E-2</v>
      </c>
      <c r="AA29" s="237">
        <f>OUTPUT_C!H36</f>
        <v>0</v>
      </c>
      <c r="AB29" s="237"/>
      <c r="AC29" s="235"/>
      <c r="AD29" s="231"/>
      <c r="AE29" s="231"/>
      <c r="AF29" s="231"/>
    </row>
    <row r="30" spans="2:32" hidden="1" x14ac:dyDescent="0.25">
      <c r="B30" s="33">
        <v>2028</v>
      </c>
      <c r="C30" s="33">
        <v>6</v>
      </c>
      <c r="D30" s="34">
        <f>OUTPUT_C!$D$32</f>
        <v>0</v>
      </c>
      <c r="E30" s="34">
        <f>OUTPUT_C!$D$33</f>
        <v>0</v>
      </c>
      <c r="F30" s="34">
        <f t="shared" si="22"/>
        <v>0</v>
      </c>
      <c r="G30" s="34" t="e">
        <f t="shared" si="23"/>
        <v>#VALUE!</v>
      </c>
      <c r="H30" s="34"/>
      <c r="I30" s="34"/>
      <c r="J30" s="34" t="e">
        <f>J29*(1+CHOOSE(J$5,INPUT!$E82,INPUT!$F82))</f>
        <v>#VALUE!</v>
      </c>
      <c r="K30" s="35">
        <f>(W30-data!F27)*D30</f>
        <v>0</v>
      </c>
      <c r="L30" s="35">
        <f>(W30-data!F27)*(E30+H30)</f>
        <v>0</v>
      </c>
      <c r="M30" s="35">
        <f>(W30-data!F27)*(F30+I30)</f>
        <v>0</v>
      </c>
      <c r="N30" s="35" t="e">
        <f>(W30-data!F27)*(G30+J30)</f>
        <v>#VALUE!</v>
      </c>
      <c r="O30" s="35"/>
      <c r="P30" s="35"/>
      <c r="Q30" s="35">
        <f t="shared" si="15"/>
        <v>0</v>
      </c>
      <c r="R30" s="5"/>
      <c r="S30" s="35">
        <f t="shared" si="16"/>
        <v>0</v>
      </c>
      <c r="T30" s="35">
        <f t="shared" si="17"/>
        <v>0</v>
      </c>
      <c r="U30" s="222">
        <f>SUM(K30,L30,M30)*(INPUT!$F$39)+SUM(O30,P30)*INPUT!$F$54</f>
        <v>0</v>
      </c>
      <c r="V30" s="35">
        <f t="shared" si="18"/>
        <v>0</v>
      </c>
      <c r="W30" s="192">
        <f t="shared" si="19"/>
        <v>140160000</v>
      </c>
      <c r="X30" s="108" t="s">
        <v>72</v>
      </c>
      <c r="Y30" s="38">
        <f t="shared" si="20"/>
        <v>2028</v>
      </c>
      <c r="Z30" s="234">
        <f t="shared" si="21"/>
        <v>-2.1983505534246106E-2</v>
      </c>
      <c r="AA30" s="237">
        <f>OUTPUT_C!I36</f>
        <v>0</v>
      </c>
      <c r="AB30" s="237"/>
      <c r="AC30" s="235"/>
      <c r="AD30" s="231"/>
      <c r="AE30" s="231"/>
      <c r="AF30" s="231"/>
    </row>
    <row r="31" spans="2:32" hidden="1" x14ac:dyDescent="0.25">
      <c r="B31" s="33">
        <v>2029</v>
      </c>
      <c r="C31" s="33">
        <v>7</v>
      </c>
      <c r="D31" s="34">
        <f>OUTPUT_C!$D$32</f>
        <v>0</v>
      </c>
      <c r="E31" s="34">
        <f>OUTPUT_C!$D$33</f>
        <v>0</v>
      </c>
      <c r="F31" s="34">
        <f t="shared" si="22"/>
        <v>0</v>
      </c>
      <c r="G31" s="34" t="e">
        <f t="shared" si="23"/>
        <v>#VALUE!</v>
      </c>
      <c r="H31" s="34"/>
      <c r="I31" s="34"/>
      <c r="J31" s="34" t="e">
        <f>J30*(1+CHOOSE(J$5,INPUT!$E83,INPUT!$F83))</f>
        <v>#VALUE!</v>
      </c>
      <c r="K31" s="35">
        <f>(W31-data!F28)*D31</f>
        <v>0</v>
      </c>
      <c r="L31" s="35">
        <f>(W31-data!F28)*(E31+H31)</f>
        <v>0</v>
      </c>
      <c r="M31" s="35">
        <f>(W31-data!F28)*(F31+I31)</f>
        <v>0</v>
      </c>
      <c r="N31" s="35" t="e">
        <f>(W31-data!F28)*(G31+J31)</f>
        <v>#VALUE!</v>
      </c>
      <c r="O31" s="35"/>
      <c r="P31" s="35"/>
      <c r="Q31" s="35">
        <f t="shared" si="15"/>
        <v>0</v>
      </c>
      <c r="R31" s="5"/>
      <c r="S31" s="35">
        <f t="shared" si="16"/>
        <v>0</v>
      </c>
      <c r="T31" s="35">
        <f t="shared" si="17"/>
        <v>0</v>
      </c>
      <c r="U31" s="222">
        <f>SUM(K31,L31,M31)*(INPUT!$F$39)+SUM(O31,P31)*INPUT!$F$54</f>
        <v>0</v>
      </c>
      <c r="V31" s="35">
        <f t="shared" si="18"/>
        <v>0</v>
      </c>
      <c r="W31" s="192">
        <f t="shared" si="19"/>
        <v>148920000</v>
      </c>
      <c r="X31" s="108" t="s">
        <v>73</v>
      </c>
      <c r="Y31" s="38">
        <f t="shared" si="20"/>
        <v>2029</v>
      </c>
      <c r="Z31" s="234">
        <f t="shared" si="21"/>
        <v>-2.1983505534246106E-2</v>
      </c>
      <c r="AA31" s="237">
        <f>OUTPUT_C!J36</f>
        <v>0</v>
      </c>
      <c r="AB31" s="237"/>
      <c r="AC31" s="235"/>
      <c r="AD31" s="231"/>
      <c r="AE31" s="231"/>
      <c r="AF31" s="231"/>
    </row>
    <row r="32" spans="2:32" hidden="1" x14ac:dyDescent="0.25">
      <c r="B32" s="33">
        <v>2030</v>
      </c>
      <c r="C32" s="33">
        <v>8</v>
      </c>
      <c r="D32" s="34">
        <f>OUTPUT_C!$D$32</f>
        <v>0</v>
      </c>
      <c r="E32" s="34">
        <f>OUTPUT_C!$D$33</f>
        <v>0</v>
      </c>
      <c r="F32" s="34">
        <f t="shared" si="22"/>
        <v>0</v>
      </c>
      <c r="G32" s="34" t="e">
        <f t="shared" si="23"/>
        <v>#VALUE!</v>
      </c>
      <c r="H32" s="34"/>
      <c r="I32" s="34"/>
      <c r="J32" s="34" t="e">
        <f>J31*(1+CHOOSE(J$5,INPUT!$E84,INPUT!$F84))</f>
        <v>#VALUE!</v>
      </c>
      <c r="K32" s="35">
        <f>(W32-data!F29)*D32</f>
        <v>0</v>
      </c>
      <c r="L32" s="35">
        <f>(W32-data!F29)*(E32+H32)</f>
        <v>0</v>
      </c>
      <c r="M32" s="35">
        <f>(W32-data!F29)*(F32+I32)</f>
        <v>0</v>
      </c>
      <c r="N32" s="35" t="e">
        <f>(W32-data!F29)*(G32+J32)</f>
        <v>#VALUE!</v>
      </c>
      <c r="O32" s="35"/>
      <c r="P32" s="35"/>
      <c r="Q32" s="35">
        <f t="shared" si="15"/>
        <v>0</v>
      </c>
      <c r="R32" s="5"/>
      <c r="S32" s="35">
        <f t="shared" si="16"/>
        <v>0</v>
      </c>
      <c r="T32" s="35">
        <f t="shared" si="17"/>
        <v>0</v>
      </c>
      <c r="U32" s="222">
        <f>SUM(K32,L32,M32)*(INPUT!$F$39)+SUM(O32,P32)*INPUT!$F$54</f>
        <v>0</v>
      </c>
      <c r="V32" s="35">
        <f t="shared" si="18"/>
        <v>0</v>
      </c>
      <c r="W32" s="192">
        <f t="shared" si="19"/>
        <v>148920000</v>
      </c>
      <c r="X32" s="108" t="s">
        <v>74</v>
      </c>
      <c r="Y32" s="38">
        <f t="shared" si="20"/>
        <v>2030</v>
      </c>
      <c r="Z32" s="234">
        <f t="shared" si="21"/>
        <v>-2.1983505534246106E-2</v>
      </c>
      <c r="AA32" s="237">
        <f>OUTPUT_C!K36</f>
        <v>0</v>
      </c>
      <c r="AB32" s="237"/>
      <c r="AC32" s="235"/>
      <c r="AD32" s="231"/>
      <c r="AE32" s="231"/>
      <c r="AF32" s="231"/>
    </row>
    <row r="33" spans="2:32" hidden="1" x14ac:dyDescent="0.25">
      <c r="B33" s="33">
        <v>2031</v>
      </c>
      <c r="C33" s="33">
        <v>9</v>
      </c>
      <c r="D33" s="34">
        <f>OUTPUT_C!$D$32</f>
        <v>0</v>
      </c>
      <c r="E33" s="34">
        <f>OUTPUT_C!$D$33</f>
        <v>0</v>
      </c>
      <c r="F33" s="34">
        <f t="shared" si="22"/>
        <v>0</v>
      </c>
      <c r="G33" s="34" t="e">
        <f t="shared" si="23"/>
        <v>#VALUE!</v>
      </c>
      <c r="H33" s="34"/>
      <c r="I33" s="34"/>
      <c r="J33" s="34" t="e">
        <f>J32*(1+CHOOSE(J$5,INPUT!$E85,INPUT!$F85))</f>
        <v>#VALUE!</v>
      </c>
      <c r="K33" s="35">
        <f>(W33-data!F30)*D33</f>
        <v>0</v>
      </c>
      <c r="L33" s="35">
        <f>(W33-data!F30)*(E33+H33)</f>
        <v>0</v>
      </c>
      <c r="M33" s="35">
        <f>(W33-data!F30)*(F33+I33)</f>
        <v>0</v>
      </c>
      <c r="N33" s="35" t="e">
        <f>(W33-data!F30)*(G33+J33)</f>
        <v>#VALUE!</v>
      </c>
      <c r="O33" s="35"/>
      <c r="P33" s="35"/>
      <c r="Q33" s="35">
        <f t="shared" si="15"/>
        <v>0</v>
      </c>
      <c r="R33" s="5"/>
      <c r="S33" s="35">
        <f t="shared" si="16"/>
        <v>0</v>
      </c>
      <c r="T33" s="35">
        <f t="shared" si="17"/>
        <v>0</v>
      </c>
      <c r="U33" s="222">
        <f>SUM(K33,L33,M33)*(INPUT!$F$39)+SUM(O33,P33)*INPUT!$F$54</f>
        <v>0</v>
      </c>
      <c r="V33" s="35">
        <f t="shared" si="18"/>
        <v>0</v>
      </c>
      <c r="W33" s="192">
        <f t="shared" si="19"/>
        <v>148920000</v>
      </c>
      <c r="X33" s="108" t="s">
        <v>75</v>
      </c>
      <c r="Y33" s="38">
        <f t="shared" si="20"/>
        <v>2031</v>
      </c>
      <c r="Z33" s="234">
        <f t="shared" si="21"/>
        <v>-2.1983505534246106E-2</v>
      </c>
      <c r="AA33" s="237">
        <f>OUTPUT_C!L36</f>
        <v>0</v>
      </c>
      <c r="AB33" s="237"/>
      <c r="AC33" s="235"/>
      <c r="AD33" s="231"/>
      <c r="AE33" s="231"/>
      <c r="AF33" s="231"/>
    </row>
    <row r="34" spans="2:32" hidden="1" x14ac:dyDescent="0.25">
      <c r="B34" s="33">
        <v>2032</v>
      </c>
      <c r="C34" s="33">
        <v>10</v>
      </c>
      <c r="D34" s="34">
        <f>OUTPUT_C!$D$32</f>
        <v>0</v>
      </c>
      <c r="E34" s="34">
        <f>OUTPUT_C!$D$33</f>
        <v>0</v>
      </c>
      <c r="F34" s="34">
        <f t="shared" si="22"/>
        <v>0</v>
      </c>
      <c r="G34" s="34" t="e">
        <f t="shared" si="23"/>
        <v>#VALUE!</v>
      </c>
      <c r="H34" s="34"/>
      <c r="I34" s="34"/>
      <c r="J34" s="34" t="e">
        <f>J33*(1+CHOOSE(J$5,INPUT!$E86,INPUT!$F86))</f>
        <v>#VALUE!</v>
      </c>
      <c r="K34" s="35">
        <f>(W34-data!F31)*D34</f>
        <v>0</v>
      </c>
      <c r="L34" s="35">
        <f>(W34-data!F31)*(E34+H34)</f>
        <v>0</v>
      </c>
      <c r="M34" s="35">
        <f>(W34-data!F31)*(F34+I34)</f>
        <v>0</v>
      </c>
      <c r="N34" s="35" t="e">
        <f>(W34-data!F31)*(G34+J34)</f>
        <v>#VALUE!</v>
      </c>
      <c r="O34" s="35"/>
      <c r="P34" s="35"/>
      <c r="Q34" s="35">
        <f t="shared" si="15"/>
        <v>0</v>
      </c>
      <c r="R34" s="5"/>
      <c r="S34" s="35">
        <f t="shared" si="16"/>
        <v>0</v>
      </c>
      <c r="T34" s="35">
        <f t="shared" si="17"/>
        <v>0</v>
      </c>
      <c r="U34" s="222">
        <f>SUM(K34,L34,M34)*(INPUT!$F$39)+SUM(O34,P34)*INPUT!$F$54</f>
        <v>0</v>
      </c>
      <c r="V34" s="35">
        <f t="shared" si="18"/>
        <v>0</v>
      </c>
      <c r="W34" s="192">
        <f t="shared" si="19"/>
        <v>157680000</v>
      </c>
      <c r="X34" s="108" t="s">
        <v>76</v>
      </c>
      <c r="Y34" s="38">
        <f t="shared" si="20"/>
        <v>2032</v>
      </c>
      <c r="Z34" s="234">
        <f t="shared" si="21"/>
        <v>-2.1983505534246106E-2</v>
      </c>
      <c r="AA34" s="237">
        <f>OUTPUT_C!M36</f>
        <v>0</v>
      </c>
      <c r="AB34" s="237"/>
      <c r="AC34" s="235"/>
      <c r="AD34" s="231"/>
      <c r="AE34" s="231"/>
      <c r="AF34" s="231"/>
    </row>
    <row r="35" spans="2:32" hidden="1" x14ac:dyDescent="0.25">
      <c r="B35" s="33">
        <v>2033</v>
      </c>
      <c r="C35" s="33">
        <v>11</v>
      </c>
      <c r="D35" s="34">
        <f>OUTPUT_C!$D$32</f>
        <v>0</v>
      </c>
      <c r="E35" s="34">
        <f>OUTPUT_C!$D$33</f>
        <v>0</v>
      </c>
      <c r="F35" s="34">
        <f t="shared" si="22"/>
        <v>0</v>
      </c>
      <c r="G35" s="34" t="e">
        <f t="shared" si="23"/>
        <v>#VALUE!</v>
      </c>
      <c r="H35" s="34"/>
      <c r="I35" s="34"/>
      <c r="J35" s="34" t="e">
        <f>J34*(1+CHOOSE(J$5,INPUT!$E87,INPUT!$F87))</f>
        <v>#VALUE!</v>
      </c>
      <c r="K35" s="35">
        <f>(W35-data!F32)*D35</f>
        <v>0</v>
      </c>
      <c r="L35" s="35">
        <f>(W35-data!F32)*(E35+H35)</f>
        <v>0</v>
      </c>
      <c r="M35" s="35">
        <f>(W35-data!F32)*(F35+I35)</f>
        <v>0</v>
      </c>
      <c r="N35" s="35" t="e">
        <f>(W35-data!F32)*(G35+J35)</f>
        <v>#VALUE!</v>
      </c>
      <c r="O35" s="35"/>
      <c r="P35" s="35"/>
      <c r="Q35" s="35">
        <f t="shared" si="15"/>
        <v>0</v>
      </c>
      <c r="R35" s="5"/>
      <c r="S35" s="35">
        <f t="shared" si="16"/>
        <v>0</v>
      </c>
      <c r="T35" s="35">
        <f t="shared" si="17"/>
        <v>0</v>
      </c>
      <c r="U35" s="222">
        <f>SUM(K35,L35,M35)*(INPUT!$F$39)+SUM(O35,P35)*INPUT!$F$54</f>
        <v>0</v>
      </c>
      <c r="V35" s="35">
        <f t="shared" si="18"/>
        <v>0</v>
      </c>
      <c r="W35" s="192">
        <f t="shared" si="19"/>
        <v>8760000</v>
      </c>
      <c r="X35" s="193" t="s">
        <v>138</v>
      </c>
      <c r="Y35" s="194">
        <f t="shared" si="20"/>
        <v>2033</v>
      </c>
      <c r="Z35" s="234">
        <f t="shared" si="21"/>
        <v>-2.1983505534246106E-2</v>
      </c>
      <c r="AA35" s="237">
        <f>OUTPUT_C!N36</f>
        <v>0</v>
      </c>
      <c r="AB35" s="237"/>
      <c r="AC35" s="235"/>
      <c r="AD35" s="231"/>
      <c r="AE35" s="231"/>
      <c r="AF35" s="231"/>
    </row>
    <row r="36" spans="2:32" ht="15.6" hidden="1" x14ac:dyDescent="0.25">
      <c r="D36" s="224"/>
      <c r="E36" s="224"/>
      <c r="F36" s="224"/>
      <c r="I36" s="24"/>
      <c r="J36" s="24"/>
      <c r="K36" s="24"/>
      <c r="L36" s="24"/>
      <c r="M36" s="24"/>
      <c r="N36" s="24"/>
      <c r="T36" s="290" t="s">
        <v>26</v>
      </c>
      <c r="U36" s="291"/>
      <c r="V36" s="285">
        <f>SUM(V25:V35)/SUM(W25:W35)</f>
        <v>0</v>
      </c>
      <c r="W36" s="286"/>
      <c r="X36" s="37"/>
      <c r="AA36" s="235"/>
      <c r="AB36" s="237"/>
      <c r="AC36" s="235"/>
      <c r="AD36" s="231"/>
      <c r="AE36" s="231"/>
      <c r="AF36" s="231"/>
    </row>
    <row r="37" spans="2:32" hidden="1" x14ac:dyDescent="0.25">
      <c r="D37" s="224"/>
      <c r="E37" s="224"/>
      <c r="F37" s="224"/>
      <c r="Z37" s="229">
        <f>SUMPRODUCT(Z25:Z35,W25:W35)/SUM(W25:W35)</f>
        <v>-2.198350553424611E-2</v>
      </c>
      <c r="AA37" s="237">
        <f>OUTPUT_C!P36</f>
        <v>0</v>
      </c>
      <c r="AB37" s="237"/>
      <c r="AC37" s="235"/>
      <c r="AD37" s="231"/>
      <c r="AE37" s="231"/>
      <c r="AF37" s="231"/>
    </row>
    <row r="38" spans="2:32" x14ac:dyDescent="0.25">
      <c r="AA38" s="235"/>
      <c r="AB38" s="237"/>
      <c r="AC38" s="235"/>
      <c r="AD38" s="231"/>
      <c r="AE38" s="231"/>
      <c r="AF38" s="231"/>
    </row>
    <row r="39" spans="2:32" x14ac:dyDescent="0.25">
      <c r="W39" s="191"/>
      <c r="AA39" s="235"/>
      <c r="AB39" s="235"/>
      <c r="AC39" s="235"/>
      <c r="AD39" s="231"/>
      <c r="AE39" s="231"/>
      <c r="AF39" s="231"/>
    </row>
    <row r="40" spans="2:32" x14ac:dyDescent="0.25">
      <c r="AA40" s="235"/>
      <c r="AB40" s="235"/>
      <c r="AC40" s="235"/>
      <c r="AD40" s="231"/>
      <c r="AE40" s="231"/>
      <c r="AF40" s="231"/>
    </row>
    <row r="41" spans="2:32" x14ac:dyDescent="0.25">
      <c r="AA41" s="232"/>
      <c r="AB41" s="231"/>
      <c r="AC41" s="231"/>
      <c r="AD41" s="231"/>
      <c r="AE41" s="231"/>
      <c r="AF41" s="231"/>
    </row>
    <row r="44" spans="2:32" x14ac:dyDescent="0.25">
      <c r="V44" s="40"/>
      <c r="W44" s="41"/>
    </row>
  </sheetData>
  <sheetProtection algorithmName="SHA-512" hashValue="kbJYpCdyGlA2LxD/JS+ojo7Q9Fv64SRe595p3rPJNStMmASeQ1SmaiJYDfuR5/5CW+h3Nlsfvvk/YKsx6NUBHw==" saltValue="dqiHGaCVCdGDudOxFmny+g==" spinCount="100000" sheet="1" objects="1" scenarios="1"/>
  <mergeCells count="36">
    <mergeCell ref="V19:W19"/>
    <mergeCell ref="M5:M6"/>
    <mergeCell ref="N5:N6"/>
    <mergeCell ref="O5:O6"/>
    <mergeCell ref="C5:C6"/>
    <mergeCell ref="K5:K6"/>
    <mergeCell ref="R4:R6"/>
    <mergeCell ref="L5:L6"/>
    <mergeCell ref="Q5:Q6"/>
    <mergeCell ref="W4:W6"/>
    <mergeCell ref="B4:Q4"/>
    <mergeCell ref="S4:S6"/>
    <mergeCell ref="T4:T6"/>
    <mergeCell ref="U4:U6"/>
    <mergeCell ref="V4:V6"/>
    <mergeCell ref="B5:B6"/>
    <mergeCell ref="R21:R23"/>
    <mergeCell ref="S21:S23"/>
    <mergeCell ref="N22:N23"/>
    <mergeCell ref="P5:P6"/>
    <mergeCell ref="T36:U36"/>
    <mergeCell ref="T19:U19"/>
    <mergeCell ref="O22:O23"/>
    <mergeCell ref="P22:P23"/>
    <mergeCell ref="Q22:Q23"/>
    <mergeCell ref="B21:Q21"/>
    <mergeCell ref="B22:B23"/>
    <mergeCell ref="C22:C23"/>
    <mergeCell ref="K22:K23"/>
    <mergeCell ref="L22:L23"/>
    <mergeCell ref="M22:M23"/>
    <mergeCell ref="V36:W36"/>
    <mergeCell ref="T21:T23"/>
    <mergeCell ref="U21:U23"/>
    <mergeCell ref="V21:V23"/>
    <mergeCell ref="W21:W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1:AD44"/>
  <sheetViews>
    <sheetView showGridLines="0" zoomScale="90" zoomScaleNormal="90" workbookViewId="0">
      <selection activeCell="P26" sqref="P26"/>
    </sheetView>
  </sheetViews>
  <sheetFormatPr defaultColWidth="9.109375" defaultRowHeight="13.8" x14ac:dyDescent="0.3"/>
  <cols>
    <col min="1" max="1" width="3" style="88" customWidth="1"/>
    <col min="2" max="2" width="5.44140625" style="88" customWidth="1"/>
    <col min="3" max="3" width="3.21875" style="88" customWidth="1"/>
    <col min="4" max="4" width="7.109375" style="88" customWidth="1"/>
    <col min="5" max="5" width="7.5546875" style="88" customWidth="1"/>
    <col min="6" max="6" width="7.33203125" style="88" customWidth="1"/>
    <col min="7" max="7" width="6.6640625" style="88" hidden="1" customWidth="1"/>
    <col min="8" max="8" width="11.5546875" style="88" customWidth="1"/>
    <col min="9" max="9" width="11.33203125" style="88" customWidth="1"/>
    <col min="10" max="10" width="11.44140625" style="88" hidden="1" customWidth="1"/>
    <col min="11" max="11" width="12.44140625" style="88" customWidth="1"/>
    <col min="12" max="12" width="12.6640625" style="88" bestFit="1" customWidth="1"/>
    <col min="13" max="13" width="12.6640625" style="88" customWidth="1"/>
    <col min="14" max="14" width="12.5546875" style="88" hidden="1" customWidth="1"/>
    <col min="15" max="15" width="11.5546875" style="88" customWidth="1"/>
    <col min="16" max="16" width="13.33203125" style="88" customWidth="1"/>
    <col min="17" max="17" width="14.33203125" style="88" bestFit="1" customWidth="1"/>
    <col min="18" max="18" width="15" style="88" customWidth="1"/>
    <col min="19" max="19" width="14" style="88" customWidth="1"/>
    <col min="20" max="20" width="12.88671875" style="88" customWidth="1"/>
    <col min="21" max="21" width="14.6640625" style="88" customWidth="1"/>
    <col min="22" max="22" width="13.33203125" style="88" customWidth="1"/>
    <col min="23" max="23" width="8.109375" style="88" hidden="1" customWidth="1"/>
    <col min="24" max="24" width="6.6640625" style="88" hidden="1" customWidth="1"/>
    <col min="25" max="25" width="11.44140625" style="88" hidden="1" customWidth="1"/>
    <col min="26" max="26" width="9.33203125" style="88" hidden="1" customWidth="1"/>
    <col min="27" max="27" width="16.88671875" style="88" hidden="1" customWidth="1"/>
    <col min="28" max="28" width="14.5546875" style="88" hidden="1" customWidth="1"/>
    <col min="29" max="29" width="16.5546875" style="88" bestFit="1" customWidth="1"/>
    <col min="30" max="31" width="14" style="88" customWidth="1"/>
    <col min="32" max="32" width="15.5546875" style="88" customWidth="1"/>
    <col min="33" max="16384" width="9.109375" style="88"/>
  </cols>
  <sheetData>
    <row r="1" spans="2:30" ht="9.75" customHeight="1" x14ac:dyDescent="0.3"/>
    <row r="2" spans="2:30" ht="26.25" customHeight="1" x14ac:dyDescent="0.3">
      <c r="B2" s="1" t="s">
        <v>27</v>
      </c>
      <c r="C2" s="2"/>
      <c r="D2" s="2"/>
      <c r="E2" s="2"/>
      <c r="F2" s="2"/>
      <c r="G2" s="2"/>
      <c r="H2" s="2"/>
      <c r="P2" s="2"/>
      <c r="Q2" s="2"/>
      <c r="R2" s="2"/>
      <c r="S2" s="2"/>
      <c r="T2" s="2"/>
      <c r="U2" s="2"/>
    </row>
    <row r="3" spans="2:30" x14ac:dyDescent="0.3">
      <c r="B3" s="2"/>
      <c r="C3" s="2"/>
      <c r="D3" s="2"/>
      <c r="E3" s="2"/>
      <c r="F3" s="2"/>
      <c r="G3" s="2"/>
      <c r="H3" s="2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D3" s="89"/>
    </row>
    <row r="4" spans="2:30" ht="15" customHeight="1" x14ac:dyDescent="0.3">
      <c r="B4" s="306" t="s">
        <v>17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301" t="s">
        <v>62</v>
      </c>
      <c r="S4" s="301" t="s">
        <v>61</v>
      </c>
      <c r="T4" s="301" t="s">
        <v>60</v>
      </c>
      <c r="U4" s="301" t="s">
        <v>45</v>
      </c>
      <c r="V4" s="301" t="s">
        <v>123</v>
      </c>
      <c r="W4" s="89"/>
      <c r="X4" s="89"/>
      <c r="Y4" s="89"/>
    </row>
    <row r="5" spans="2:30" x14ac:dyDescent="0.3">
      <c r="B5" s="309" t="s">
        <v>18</v>
      </c>
      <c r="C5" s="309" t="s">
        <v>19</v>
      </c>
      <c r="D5" s="85"/>
      <c r="E5" s="85"/>
      <c r="F5" s="85"/>
      <c r="G5" s="85"/>
      <c r="H5" s="8" t="e">
        <f>INPUT!I27</f>
        <v>#N/A</v>
      </c>
      <c r="I5" s="8" t="e">
        <f>INPUT!I28</f>
        <v>#N/A</v>
      </c>
      <c r="J5" s="8">
        <f>INPUT!I29</f>
        <v>1</v>
      </c>
      <c r="K5" s="301" t="s">
        <v>20</v>
      </c>
      <c r="L5" s="301" t="s">
        <v>21</v>
      </c>
      <c r="M5" s="301" t="s">
        <v>22</v>
      </c>
      <c r="N5" s="301" t="s">
        <v>23</v>
      </c>
      <c r="O5" s="301" t="s">
        <v>24</v>
      </c>
      <c r="P5" s="301" t="s">
        <v>25</v>
      </c>
      <c r="Q5" s="301" t="s">
        <v>63</v>
      </c>
      <c r="R5" s="302"/>
      <c r="S5" s="302"/>
      <c r="T5" s="302"/>
      <c r="U5" s="302"/>
      <c r="V5" s="302"/>
      <c r="W5" s="89"/>
      <c r="X5" s="89"/>
      <c r="Y5" s="89"/>
    </row>
    <row r="6" spans="2:30" ht="42.75" customHeight="1" x14ac:dyDescent="0.3">
      <c r="B6" s="310"/>
      <c r="C6" s="310"/>
      <c r="D6" s="86" t="s">
        <v>39</v>
      </c>
      <c r="E6" s="6" t="s">
        <v>54</v>
      </c>
      <c r="F6" s="6" t="s">
        <v>55</v>
      </c>
      <c r="G6" s="6" t="s">
        <v>56</v>
      </c>
      <c r="H6" s="6" t="s">
        <v>51</v>
      </c>
      <c r="I6" s="6" t="s">
        <v>52</v>
      </c>
      <c r="J6" s="6" t="s">
        <v>53</v>
      </c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89"/>
      <c r="X6" s="89"/>
      <c r="Y6" s="89"/>
    </row>
    <row r="7" spans="2:30" ht="16.5" customHeight="1" x14ac:dyDescent="0.3">
      <c r="B7" s="86"/>
      <c r="C7" s="86"/>
      <c r="D7" s="10" t="s">
        <v>57</v>
      </c>
      <c r="E7" s="10" t="s">
        <v>57</v>
      </c>
      <c r="F7" s="10" t="s">
        <v>57</v>
      </c>
      <c r="G7" s="10" t="s">
        <v>57</v>
      </c>
      <c r="H7" s="10" t="s">
        <v>57</v>
      </c>
      <c r="I7" s="10" t="s">
        <v>57</v>
      </c>
      <c r="J7" s="10" t="s">
        <v>57</v>
      </c>
      <c r="K7" s="11" t="s">
        <v>58</v>
      </c>
      <c r="L7" s="11" t="s">
        <v>58</v>
      </c>
      <c r="M7" s="11" t="s">
        <v>58</v>
      </c>
      <c r="N7" s="11" t="s">
        <v>58</v>
      </c>
      <c r="O7" s="11" t="s">
        <v>58</v>
      </c>
      <c r="P7" s="11" t="s">
        <v>58</v>
      </c>
      <c r="Q7" s="11" t="s">
        <v>58</v>
      </c>
      <c r="R7" s="11" t="s">
        <v>58</v>
      </c>
      <c r="S7" s="11" t="s">
        <v>58</v>
      </c>
      <c r="T7" s="11" t="s">
        <v>58</v>
      </c>
      <c r="U7" s="11" t="s">
        <v>58</v>
      </c>
      <c r="V7" s="11" t="s">
        <v>59</v>
      </c>
      <c r="W7" s="89"/>
      <c r="X7" s="89"/>
      <c r="Y7" s="90" t="s">
        <v>90</v>
      </c>
      <c r="Z7" s="90" t="s">
        <v>91</v>
      </c>
    </row>
    <row r="8" spans="2:30" x14ac:dyDescent="0.3">
      <c r="B8" s="3">
        <v>2023</v>
      </c>
      <c r="C8" s="4">
        <v>1</v>
      </c>
      <c r="D8" s="7">
        <f>INPUT!$F$26</f>
        <v>0</v>
      </c>
      <c r="E8" s="7">
        <f>INPUT!F27*(1-INPUT!G27)</f>
        <v>0</v>
      </c>
      <c r="F8" s="7">
        <f>INPUT!F28*(1-INPUT!G28)</f>
        <v>0</v>
      </c>
      <c r="G8" s="7">
        <f>INPUT!F29*(1-INPUT!G29)</f>
        <v>0</v>
      </c>
      <c r="H8" s="7">
        <f>INPUT!F27*INPUT!G27</f>
        <v>0</v>
      </c>
      <c r="I8" s="7">
        <f>INPUT!F28*INPUT!G28</f>
        <v>0</v>
      </c>
      <c r="J8" s="7">
        <f>INPUT!F29*INPUT!G29</f>
        <v>0</v>
      </c>
      <c r="K8" s="5">
        <f>(V8-data!F5)*D8</f>
        <v>0</v>
      </c>
      <c r="L8" s="5">
        <f>(V8-data!F5)*(E8+H8)</f>
        <v>0</v>
      </c>
      <c r="M8" s="5">
        <f>(V8-data!F5)*(F8+I8)</f>
        <v>0</v>
      </c>
      <c r="N8" s="5">
        <f>(V8-data!F5)*(G8+J8)</f>
        <v>0</v>
      </c>
      <c r="O8" s="5">
        <f>(data!F5/2)*INPUT!$F$53</f>
        <v>8516016</v>
      </c>
      <c r="P8" s="5">
        <f>O8</f>
        <v>8516016</v>
      </c>
      <c r="Q8" s="5">
        <f>SUM($K8:$P8)</f>
        <v>17032032</v>
      </c>
      <c r="R8" s="5">
        <f>(SUM(K8:M8)*INPUT!$E$35)+(SUM(K8:N8)*INPUT!$E$37)+((LCOE!V8-data!F5)*INPUT!$E$38)</f>
        <v>0</v>
      </c>
      <c r="S8" s="5">
        <f>Q8-R8</f>
        <v>17032032</v>
      </c>
      <c r="T8" s="5">
        <f>SUM(K8:N8)*(INPUT!$F$39)+SUM($O8:$P8)*INPUT!$F$54</f>
        <v>1021921.9199999999</v>
      </c>
      <c r="U8" s="5">
        <f>SUM(S8,T8)</f>
        <v>18053953.920000002</v>
      </c>
      <c r="V8" s="5">
        <f>data!D5*1000</f>
        <v>26280000</v>
      </c>
      <c r="W8" s="91" t="s">
        <v>67</v>
      </c>
      <c r="X8" s="92">
        <f>B8</f>
        <v>2023</v>
      </c>
      <c r="Y8" s="110">
        <f>U8/V8</f>
        <v>0.68698454794520558</v>
      </c>
      <c r="Z8" s="188">
        <f>'table b_less3.2%ppd'!Z8</f>
        <v>0.68698454794520558</v>
      </c>
    </row>
    <row r="9" spans="2:30" x14ac:dyDescent="0.3">
      <c r="B9" s="3">
        <v>2024</v>
      </c>
      <c r="C9" s="4">
        <v>2</v>
      </c>
      <c r="D9" s="7">
        <f>INPUT!$F$26</f>
        <v>0</v>
      </c>
      <c r="E9" s="7">
        <f>E8</f>
        <v>0</v>
      </c>
      <c r="F9" s="7">
        <f t="shared" ref="F9:F18" si="0">F8</f>
        <v>0</v>
      </c>
      <c r="G9" s="7">
        <f t="shared" ref="G9:G18" si="1">G8</f>
        <v>0</v>
      </c>
      <c r="H9" s="7" t="e">
        <f>H8*(1+CHOOSE(H$5,INPUT!$D61,INPUT!$E61))</f>
        <v>#N/A</v>
      </c>
      <c r="I9" s="7" t="e">
        <f>I8*(1+CHOOSE(I$5,INPUT!$D61,INPUT!$E61))</f>
        <v>#N/A</v>
      </c>
      <c r="J9" s="7">
        <f>J8*(1+CHOOSE(J$5,INPUT!$E61,INPUT!$F61))</f>
        <v>0</v>
      </c>
      <c r="K9" s="5">
        <f>(V9-data!F6)*D9</f>
        <v>0</v>
      </c>
      <c r="L9" s="5" t="e">
        <f>(V9-data!F6)*(E9+H9)</f>
        <v>#N/A</v>
      </c>
      <c r="M9" s="5" t="e">
        <f>(V9-data!F6)*(F9+I9)</f>
        <v>#N/A</v>
      </c>
      <c r="N9" s="5">
        <f>(V9-data!F6)*(G9+J9)</f>
        <v>0</v>
      </c>
      <c r="O9" s="5">
        <f>(data!F6/2)*INPUT!$F$53</f>
        <v>28386720</v>
      </c>
      <c r="P9" s="5">
        <f t="shared" ref="P9:P17" si="2">O9</f>
        <v>28386720</v>
      </c>
      <c r="Q9" s="5" t="e">
        <f t="shared" ref="Q9:Q18" si="3">SUM($K9:$P9)</f>
        <v>#N/A</v>
      </c>
      <c r="R9" s="5" t="e">
        <f>(SUM(K9:M9)*INPUT!$E$35)+(SUM(K9:N9)*INPUT!$E$37)+((LCOE!V9-data!F6)*INPUT!$E$38)</f>
        <v>#N/A</v>
      </c>
      <c r="S9" s="5" t="e">
        <f t="shared" ref="S9:S17" si="4">Q9-R9</f>
        <v>#N/A</v>
      </c>
      <c r="T9" s="5" t="e">
        <f>SUM(K9:N9)*(INPUT!$F$39)+SUM($O9:$P9)*INPUT!$F$54</f>
        <v>#N/A</v>
      </c>
      <c r="U9" s="5" t="e">
        <f t="shared" ref="U9:U17" si="5">SUM(S9,T9)</f>
        <v>#N/A</v>
      </c>
      <c r="V9" s="5">
        <f>data!D6*1000</f>
        <v>87600000</v>
      </c>
      <c r="W9" s="94" t="s">
        <v>68</v>
      </c>
      <c r="X9" s="95">
        <f t="shared" ref="X9:X17" si="6">B9</f>
        <v>2024</v>
      </c>
      <c r="Y9" s="109" t="e">
        <f>U9/V9</f>
        <v>#N/A</v>
      </c>
      <c r="Z9" s="189" t="e">
        <f>'table b_less3.2%ppd'!Z9</f>
        <v>#N/A</v>
      </c>
      <c r="AA9" s="196" t="s">
        <v>146</v>
      </c>
      <c r="AB9" s="104">
        <v>5.2877000000000001</v>
      </c>
    </row>
    <row r="10" spans="2:30" x14ac:dyDescent="0.3">
      <c r="B10" s="3">
        <v>2025</v>
      </c>
      <c r="C10" s="4">
        <v>3</v>
      </c>
      <c r="D10" s="7">
        <f>INPUT!$F$26</f>
        <v>0</v>
      </c>
      <c r="E10" s="7">
        <f t="shared" ref="E10:E18" si="7">E9</f>
        <v>0</v>
      </c>
      <c r="F10" s="7">
        <f t="shared" si="0"/>
        <v>0</v>
      </c>
      <c r="G10" s="7">
        <f t="shared" si="1"/>
        <v>0</v>
      </c>
      <c r="H10" s="7" t="e">
        <f>H9*(1+CHOOSE(H$5,INPUT!$D62,INPUT!$E62))</f>
        <v>#N/A</v>
      </c>
      <c r="I10" s="7" t="e">
        <f>I9*(1+CHOOSE(I$5,INPUT!$D62,INPUT!$E62))</f>
        <v>#N/A</v>
      </c>
      <c r="J10" s="7">
        <f>J9*(1+CHOOSE(J$5,INPUT!$E62,INPUT!$F62))</f>
        <v>0</v>
      </c>
      <c r="K10" s="5">
        <f>(V10-data!F7)*D10</f>
        <v>0</v>
      </c>
      <c r="L10" s="5" t="e">
        <f>(V10-data!F7)*(E10+H10)</f>
        <v>#N/A</v>
      </c>
      <c r="M10" s="5" t="e">
        <f>(V10-data!F7)*(F10+I10)</f>
        <v>#N/A</v>
      </c>
      <c r="N10" s="5">
        <f>(V10-data!F7)*(G10+J10)</f>
        <v>0</v>
      </c>
      <c r="O10" s="5">
        <f>(data!F7/2)*INPUT!$F$53</f>
        <v>31225392</v>
      </c>
      <c r="P10" s="5">
        <f t="shared" si="2"/>
        <v>31225392</v>
      </c>
      <c r="Q10" s="5" t="e">
        <f t="shared" si="3"/>
        <v>#N/A</v>
      </c>
      <c r="R10" s="5" t="e">
        <f>(SUM(K10:M10)*INPUT!$E$35)+(SUM(K10:N10)*INPUT!$E$37)+((LCOE!V10-data!F7)*INPUT!$E$38)</f>
        <v>#N/A</v>
      </c>
      <c r="S10" s="5" t="e">
        <f t="shared" si="4"/>
        <v>#N/A</v>
      </c>
      <c r="T10" s="5" t="e">
        <f>SUM(K10:N10)*(INPUT!$F$39)+SUM($O10:$P10)*INPUT!$F$54</f>
        <v>#N/A</v>
      </c>
      <c r="U10" s="5" t="e">
        <f t="shared" si="5"/>
        <v>#N/A</v>
      </c>
      <c r="V10" s="5">
        <f>data!D7*1000</f>
        <v>96360000</v>
      </c>
      <c r="W10" s="94" t="s">
        <v>69</v>
      </c>
      <c r="X10" s="95">
        <f t="shared" si="6"/>
        <v>2025</v>
      </c>
      <c r="Y10" s="109" t="e">
        <f t="shared" ref="Y10:Y17" si="8">U10/V10</f>
        <v>#N/A</v>
      </c>
      <c r="Z10" s="189" t="e">
        <f>'table b_less3.2%ppd'!Z10</f>
        <v>#N/A</v>
      </c>
      <c r="AA10" s="111" t="s">
        <v>105</v>
      </c>
      <c r="AB10" s="104">
        <v>0.39615026017378374</v>
      </c>
      <c r="AC10" s="112"/>
    </row>
    <row r="11" spans="2:30" x14ac:dyDescent="0.3">
      <c r="B11" s="3">
        <v>2026</v>
      </c>
      <c r="C11" s="4">
        <v>4</v>
      </c>
      <c r="D11" s="7">
        <f>INPUT!$F$26</f>
        <v>0</v>
      </c>
      <c r="E11" s="7">
        <f t="shared" si="7"/>
        <v>0</v>
      </c>
      <c r="F11" s="7">
        <f t="shared" si="0"/>
        <v>0</v>
      </c>
      <c r="G11" s="7">
        <f t="shared" si="1"/>
        <v>0</v>
      </c>
      <c r="H11" s="7" t="e">
        <f>H10*(1+CHOOSE(H$5,INPUT!$D63,INPUT!$E63))</f>
        <v>#N/A</v>
      </c>
      <c r="I11" s="7" t="e">
        <f>I10*(1+CHOOSE(I$5,INPUT!$D63,INPUT!$E63))</f>
        <v>#N/A</v>
      </c>
      <c r="J11" s="7">
        <f>J10*(1+CHOOSE(J$5,INPUT!$E63,INPUT!$F63))</f>
        <v>0</v>
      </c>
      <c r="K11" s="5">
        <f>(V11-data!F8)*D11</f>
        <v>0</v>
      </c>
      <c r="L11" s="5" t="e">
        <f>(V11-data!F8)*(E11+H11)</f>
        <v>#N/A</v>
      </c>
      <c r="M11" s="5" t="e">
        <f>(V11-data!F8)*(F11+I11)</f>
        <v>#N/A</v>
      </c>
      <c r="N11" s="5">
        <f>(V11-data!F8)*(G11+J11)</f>
        <v>0</v>
      </c>
      <c r="O11" s="5">
        <f>(data!F8/2)*INPUT!$F$53</f>
        <v>34064064</v>
      </c>
      <c r="P11" s="5">
        <f t="shared" si="2"/>
        <v>34064064</v>
      </c>
      <c r="Q11" s="5" t="e">
        <f t="shared" si="3"/>
        <v>#N/A</v>
      </c>
      <c r="R11" s="5" t="e">
        <f>(SUM(K11:M11)*INPUT!$E$35)+(SUM(K11:N11)*INPUT!$E$37)+((LCOE!V11-data!F8)*INPUT!$E$38)</f>
        <v>#N/A</v>
      </c>
      <c r="S11" s="5" t="e">
        <f t="shared" si="4"/>
        <v>#N/A</v>
      </c>
      <c r="T11" s="5" t="e">
        <f>SUM(K11:N11)*(INPUT!$F$39)+SUM($O11:$P11)*INPUT!$F$54</f>
        <v>#N/A</v>
      </c>
      <c r="U11" s="5" t="e">
        <f t="shared" si="5"/>
        <v>#N/A</v>
      </c>
      <c r="V11" s="5">
        <f>data!D8*1000</f>
        <v>105120000</v>
      </c>
      <c r="W11" s="94" t="s">
        <v>70</v>
      </c>
      <c r="X11" s="95">
        <f t="shared" si="6"/>
        <v>2026</v>
      </c>
      <c r="Y11" s="109" t="e">
        <f t="shared" si="8"/>
        <v>#N/A</v>
      </c>
      <c r="Z11" s="189" t="e">
        <f>'table b_less3.2%ppd'!Z11</f>
        <v>#N/A</v>
      </c>
      <c r="AA11" s="111" t="s">
        <v>106</v>
      </c>
      <c r="AB11" s="93">
        <v>0.01</v>
      </c>
    </row>
    <row r="12" spans="2:30" x14ac:dyDescent="0.3">
      <c r="B12" s="3">
        <v>2027</v>
      </c>
      <c r="C12" s="4">
        <v>5</v>
      </c>
      <c r="D12" s="7">
        <f>INPUT!$F$26</f>
        <v>0</v>
      </c>
      <c r="E12" s="7">
        <f t="shared" si="7"/>
        <v>0</v>
      </c>
      <c r="F12" s="7">
        <f t="shared" si="0"/>
        <v>0</v>
      </c>
      <c r="G12" s="7">
        <f t="shared" si="1"/>
        <v>0</v>
      </c>
      <c r="H12" s="7" t="e">
        <f>H11*(1+CHOOSE(H$5,INPUT!$D64,INPUT!$E64))</f>
        <v>#N/A</v>
      </c>
      <c r="I12" s="7" t="e">
        <f>I11*(1+CHOOSE(I$5,INPUT!$D64,INPUT!$E64))</f>
        <v>#N/A</v>
      </c>
      <c r="J12" s="7">
        <f>J11*(1+CHOOSE(J$5,INPUT!$E64,INPUT!$F64))</f>
        <v>0</v>
      </c>
      <c r="K12" s="5">
        <f>(V12-data!F9)*D12</f>
        <v>0</v>
      </c>
      <c r="L12" s="5" t="e">
        <f>(V12-data!F9)*(E12+H12)</f>
        <v>#N/A</v>
      </c>
      <c r="M12" s="5" t="e">
        <f>(V12-data!F9)*(F12+I12)</f>
        <v>#N/A</v>
      </c>
      <c r="N12" s="5">
        <f>(V12-data!F9)*(G12+J12)</f>
        <v>0</v>
      </c>
      <c r="O12" s="5">
        <f>(data!F9/2)*INPUT!$F$53</f>
        <v>42580080</v>
      </c>
      <c r="P12" s="5">
        <f t="shared" si="2"/>
        <v>42580080</v>
      </c>
      <c r="Q12" s="5" t="e">
        <f t="shared" si="3"/>
        <v>#N/A</v>
      </c>
      <c r="R12" s="5" t="e">
        <f>(SUM(K12:M12)*INPUT!$E$35)+(SUM(K12:N12)*INPUT!$E$37)+((LCOE!V12-data!F9)*INPUT!$E$38)</f>
        <v>#N/A</v>
      </c>
      <c r="S12" s="5" t="e">
        <f t="shared" si="4"/>
        <v>#N/A</v>
      </c>
      <c r="T12" s="5" t="e">
        <f>SUM(K12:N12)*(INPUT!$F$39)+SUM($O12:$P12)*INPUT!$F$54</f>
        <v>#N/A</v>
      </c>
      <c r="U12" s="5" t="e">
        <f t="shared" si="5"/>
        <v>#N/A</v>
      </c>
      <c r="V12" s="5">
        <f>data!D9*1000</f>
        <v>131400000</v>
      </c>
      <c r="W12" s="94" t="s">
        <v>71</v>
      </c>
      <c r="X12" s="95">
        <f t="shared" si="6"/>
        <v>2027</v>
      </c>
      <c r="Y12" s="109" t="e">
        <f t="shared" si="8"/>
        <v>#N/A</v>
      </c>
      <c r="Z12" s="189" t="e">
        <f>'table b_less3.2%ppd'!Z12</f>
        <v>#N/A</v>
      </c>
      <c r="AA12" s="93"/>
      <c r="AB12" s="104">
        <f>SUM(AB9:AB11)</f>
        <v>5.6938502601737833</v>
      </c>
    </row>
    <row r="13" spans="2:30" x14ac:dyDescent="0.3">
      <c r="B13" s="3">
        <v>2028</v>
      </c>
      <c r="C13" s="4">
        <v>6</v>
      </c>
      <c r="D13" s="7">
        <f>INPUT!$F$26</f>
        <v>0</v>
      </c>
      <c r="E13" s="7">
        <f t="shared" si="7"/>
        <v>0</v>
      </c>
      <c r="F13" s="7">
        <f t="shared" si="0"/>
        <v>0</v>
      </c>
      <c r="G13" s="7">
        <f t="shared" si="1"/>
        <v>0</v>
      </c>
      <c r="H13" s="7" t="e">
        <f>H12*(1+CHOOSE(H$5,INPUT!$D65,INPUT!$E65))</f>
        <v>#N/A</v>
      </c>
      <c r="I13" s="7" t="e">
        <f>I12*(1+CHOOSE(I$5,INPUT!$D65,INPUT!$E65))</f>
        <v>#N/A</v>
      </c>
      <c r="J13" s="7">
        <f>J12*(1+CHOOSE(J$5,INPUT!$E65,INPUT!$F65))</f>
        <v>0</v>
      </c>
      <c r="K13" s="5">
        <f>(V13-data!F10)*D13</f>
        <v>0</v>
      </c>
      <c r="L13" s="5" t="e">
        <f>(V13-data!F10)*(E13+H13)</f>
        <v>#N/A</v>
      </c>
      <c r="M13" s="5" t="e">
        <f>(V13-data!F10)*(F13+I13)</f>
        <v>#N/A</v>
      </c>
      <c r="N13" s="5">
        <f>(V13-data!F10)*(G13+J13)</f>
        <v>0</v>
      </c>
      <c r="O13" s="5">
        <f>(data!F10/2)*INPUT!$F$53</f>
        <v>45418752</v>
      </c>
      <c r="P13" s="5">
        <f t="shared" si="2"/>
        <v>45418752</v>
      </c>
      <c r="Q13" s="5" t="e">
        <f t="shared" si="3"/>
        <v>#N/A</v>
      </c>
      <c r="R13" s="5" t="e">
        <f>(SUM(K13:M13)*INPUT!$E$35)+(SUM(K13:N13)*INPUT!$E$37)+((LCOE!V13-data!F10)*INPUT!$E$38)</f>
        <v>#N/A</v>
      </c>
      <c r="S13" s="5" t="e">
        <f t="shared" si="4"/>
        <v>#N/A</v>
      </c>
      <c r="T13" s="5" t="e">
        <f>SUM(K13:N13)*(INPUT!$F$39)+SUM($O13:$P13)*INPUT!$F$54</f>
        <v>#N/A</v>
      </c>
      <c r="U13" s="5" t="e">
        <f t="shared" si="5"/>
        <v>#N/A</v>
      </c>
      <c r="V13" s="5">
        <f>data!D10*1000</f>
        <v>140160000</v>
      </c>
      <c r="W13" s="94" t="s">
        <v>72</v>
      </c>
      <c r="X13" s="95">
        <f t="shared" si="6"/>
        <v>2028</v>
      </c>
      <c r="Y13" s="109" t="e">
        <f t="shared" si="8"/>
        <v>#N/A</v>
      </c>
      <c r="Z13" s="189" t="e">
        <f>'table b_less3.2%ppd'!Z13</f>
        <v>#N/A</v>
      </c>
      <c r="AB13" s="112"/>
    </row>
    <row r="14" spans="2:30" x14ac:dyDescent="0.3">
      <c r="B14" s="3">
        <v>2029</v>
      </c>
      <c r="C14" s="4">
        <v>7</v>
      </c>
      <c r="D14" s="7">
        <f>INPUT!$F$26</f>
        <v>0</v>
      </c>
      <c r="E14" s="7">
        <f t="shared" si="7"/>
        <v>0</v>
      </c>
      <c r="F14" s="7">
        <f t="shared" si="0"/>
        <v>0</v>
      </c>
      <c r="G14" s="7">
        <f t="shared" si="1"/>
        <v>0</v>
      </c>
      <c r="H14" s="7" t="e">
        <f>H13*(1+CHOOSE(H$5,INPUT!$D66,INPUT!$E66))</f>
        <v>#N/A</v>
      </c>
      <c r="I14" s="7" t="e">
        <f>I13*(1+CHOOSE(I$5,INPUT!$D66,INPUT!$E66))</f>
        <v>#N/A</v>
      </c>
      <c r="J14" s="7">
        <f>J13*(1+CHOOSE(J$5,INPUT!$E66,INPUT!$F66))</f>
        <v>0</v>
      </c>
      <c r="K14" s="5">
        <f>(V14-data!F11)*D14</f>
        <v>0</v>
      </c>
      <c r="L14" s="5" t="e">
        <f>(V14-data!F11)*(E14+H14)</f>
        <v>#N/A</v>
      </c>
      <c r="M14" s="5" t="e">
        <f>(V14-data!F11)*(F14+I14)</f>
        <v>#N/A</v>
      </c>
      <c r="N14" s="5">
        <f>(V14-data!F11)*(G14+J14)</f>
        <v>0</v>
      </c>
      <c r="O14" s="5">
        <f>(data!F11/2)*INPUT!$F$53</f>
        <v>48257424</v>
      </c>
      <c r="P14" s="5">
        <f t="shared" si="2"/>
        <v>48257424</v>
      </c>
      <c r="Q14" s="5" t="e">
        <f t="shared" si="3"/>
        <v>#N/A</v>
      </c>
      <c r="R14" s="5" t="e">
        <f>(SUM(K14:M14)*INPUT!$E$35)+(SUM(K14:N14)*INPUT!$E$37)+((LCOE!V14-data!F11)*INPUT!$E$38)</f>
        <v>#N/A</v>
      </c>
      <c r="S14" s="5" t="e">
        <f t="shared" si="4"/>
        <v>#N/A</v>
      </c>
      <c r="T14" s="5" t="e">
        <f>SUM(K14:N14)*(INPUT!$F$39)+SUM($O14:$P14)*INPUT!$F$54</f>
        <v>#N/A</v>
      </c>
      <c r="U14" s="5" t="e">
        <f t="shared" si="5"/>
        <v>#N/A</v>
      </c>
      <c r="V14" s="5">
        <f>data!D11*1000</f>
        <v>148920000</v>
      </c>
      <c r="W14" s="94" t="s">
        <v>73</v>
      </c>
      <c r="X14" s="95">
        <f t="shared" si="6"/>
        <v>2029</v>
      </c>
      <c r="Y14" s="109" t="e">
        <f t="shared" si="8"/>
        <v>#N/A</v>
      </c>
      <c r="Z14" s="189" t="e">
        <f>'table b_less3.2%ppd'!Z14</f>
        <v>#N/A</v>
      </c>
      <c r="AB14" s="112"/>
    </row>
    <row r="15" spans="2:30" x14ac:dyDescent="0.3">
      <c r="B15" s="3">
        <v>2030</v>
      </c>
      <c r="C15" s="4">
        <v>8</v>
      </c>
      <c r="D15" s="7">
        <f>INPUT!$F$26</f>
        <v>0</v>
      </c>
      <c r="E15" s="7">
        <f t="shared" si="7"/>
        <v>0</v>
      </c>
      <c r="F15" s="7">
        <f t="shared" si="0"/>
        <v>0</v>
      </c>
      <c r="G15" s="7">
        <f t="shared" si="1"/>
        <v>0</v>
      </c>
      <c r="H15" s="7" t="e">
        <f>H14*(1+CHOOSE(H$5,INPUT!$D67,INPUT!$E67))</f>
        <v>#N/A</v>
      </c>
      <c r="I15" s="7" t="e">
        <f>I14*(1+CHOOSE(I$5,INPUT!$D67,INPUT!$E67))</f>
        <v>#N/A</v>
      </c>
      <c r="J15" s="7">
        <f>J14*(1+CHOOSE(J$5,INPUT!$E67,INPUT!$F67))</f>
        <v>0</v>
      </c>
      <c r="K15" s="5">
        <f>(V15-data!F12)*D15</f>
        <v>0</v>
      </c>
      <c r="L15" s="5" t="e">
        <f>(V15-data!F12)*(E15+H15)</f>
        <v>#N/A</v>
      </c>
      <c r="M15" s="5" t="e">
        <f>(V15-data!F12)*(F15+I15)</f>
        <v>#N/A</v>
      </c>
      <c r="N15" s="5">
        <f>(V15-data!F12)*(G15+J15)</f>
        <v>0</v>
      </c>
      <c r="O15" s="5">
        <f>(data!F12/2)*INPUT!$F$53</f>
        <v>48257424</v>
      </c>
      <c r="P15" s="5">
        <f t="shared" si="2"/>
        <v>48257424</v>
      </c>
      <c r="Q15" s="5" t="e">
        <f t="shared" si="3"/>
        <v>#N/A</v>
      </c>
      <c r="R15" s="5" t="e">
        <f>(SUM(K15:M15)*INPUT!$E$35)+(SUM(K15:N15)*INPUT!$E$37)+((LCOE!V15-data!F12)*INPUT!$E$38)</f>
        <v>#N/A</v>
      </c>
      <c r="S15" s="5" t="e">
        <f t="shared" si="4"/>
        <v>#N/A</v>
      </c>
      <c r="T15" s="5" t="e">
        <f>SUM(K15:N15)*(INPUT!$F$39)+SUM($O15:$P15)*INPUT!$F$54</f>
        <v>#N/A</v>
      </c>
      <c r="U15" s="5" t="e">
        <f t="shared" si="5"/>
        <v>#N/A</v>
      </c>
      <c r="V15" s="5">
        <f>data!D12*1000</f>
        <v>148920000</v>
      </c>
      <c r="W15" s="94" t="s">
        <v>74</v>
      </c>
      <c r="X15" s="95">
        <f t="shared" si="6"/>
        <v>2030</v>
      </c>
      <c r="Y15" s="109" t="e">
        <f t="shared" si="8"/>
        <v>#N/A</v>
      </c>
      <c r="Z15" s="189" t="e">
        <f>'table b_less3.2%ppd'!Z15</f>
        <v>#N/A</v>
      </c>
    </row>
    <row r="16" spans="2:30" x14ac:dyDescent="0.3">
      <c r="B16" s="3">
        <v>2031</v>
      </c>
      <c r="C16" s="4">
        <v>9</v>
      </c>
      <c r="D16" s="7">
        <f>INPUT!$F$26</f>
        <v>0</v>
      </c>
      <c r="E16" s="7">
        <f t="shared" si="7"/>
        <v>0</v>
      </c>
      <c r="F16" s="7">
        <f t="shared" si="0"/>
        <v>0</v>
      </c>
      <c r="G16" s="7">
        <f t="shared" si="1"/>
        <v>0</v>
      </c>
      <c r="H16" s="7" t="e">
        <f>H15*(1+CHOOSE(H$5,INPUT!$D68,INPUT!$E68))</f>
        <v>#N/A</v>
      </c>
      <c r="I16" s="7" t="e">
        <f>I15*(1+CHOOSE(I$5,INPUT!$D68,INPUT!$E68))</f>
        <v>#N/A</v>
      </c>
      <c r="J16" s="7">
        <f>J15*(1+CHOOSE(J$5,INPUT!$E68,INPUT!$F68))</f>
        <v>0</v>
      </c>
      <c r="K16" s="5">
        <f>(V16-data!F13)*D16</f>
        <v>0</v>
      </c>
      <c r="L16" s="5" t="e">
        <f>(V16-data!F13)*(E16+H16)</f>
        <v>#N/A</v>
      </c>
      <c r="M16" s="5" t="e">
        <f>(V16-data!F13)*(F16+I16)</f>
        <v>#N/A</v>
      </c>
      <c r="N16" s="5">
        <f>(V16-data!F13)*(G16+J16)</f>
        <v>0</v>
      </c>
      <c r="O16" s="5">
        <f>(data!F13/2)*INPUT!$F$53</f>
        <v>48257424</v>
      </c>
      <c r="P16" s="5">
        <f t="shared" si="2"/>
        <v>48257424</v>
      </c>
      <c r="Q16" s="5" t="e">
        <f t="shared" si="3"/>
        <v>#N/A</v>
      </c>
      <c r="R16" s="5" t="e">
        <f>(SUM(K16:M16)*INPUT!$E$35)+(SUM(K16:N16)*INPUT!$E$37)+((LCOE!V16-data!F13)*INPUT!$E$38)</f>
        <v>#N/A</v>
      </c>
      <c r="S16" s="5" t="e">
        <f t="shared" si="4"/>
        <v>#N/A</v>
      </c>
      <c r="T16" s="5" t="e">
        <f>SUM(K16:N16)*(INPUT!$F$39)+SUM($O16:$P16)*INPUT!$F$54</f>
        <v>#N/A</v>
      </c>
      <c r="U16" s="5" t="e">
        <f t="shared" si="5"/>
        <v>#N/A</v>
      </c>
      <c r="V16" s="5">
        <f>data!D13*1000</f>
        <v>148920000</v>
      </c>
      <c r="W16" s="94" t="s">
        <v>75</v>
      </c>
      <c r="X16" s="95">
        <f t="shared" si="6"/>
        <v>2031</v>
      </c>
      <c r="Y16" s="109" t="e">
        <f t="shared" si="8"/>
        <v>#N/A</v>
      </c>
      <c r="Z16" s="189" t="e">
        <f>'table b_less3.2%ppd'!Z16</f>
        <v>#N/A</v>
      </c>
      <c r="AB16" s="112"/>
    </row>
    <row r="17" spans="2:28" x14ac:dyDescent="0.3">
      <c r="B17" s="3">
        <v>2032</v>
      </c>
      <c r="C17" s="4">
        <v>10</v>
      </c>
      <c r="D17" s="7">
        <f>INPUT!$F$26</f>
        <v>0</v>
      </c>
      <c r="E17" s="7">
        <f t="shared" si="7"/>
        <v>0</v>
      </c>
      <c r="F17" s="7">
        <f t="shared" si="0"/>
        <v>0</v>
      </c>
      <c r="G17" s="7">
        <f t="shared" si="1"/>
        <v>0</v>
      </c>
      <c r="H17" s="7" t="e">
        <f>H16*(1+CHOOSE(H$5,INPUT!$D69,INPUT!$E69))</f>
        <v>#N/A</v>
      </c>
      <c r="I17" s="7" t="e">
        <f>I16*(1+CHOOSE(I$5,INPUT!$D69,INPUT!$E69))</f>
        <v>#N/A</v>
      </c>
      <c r="J17" s="7">
        <f>J16*(1+CHOOSE(J$5,INPUT!$E69,INPUT!$F69))</f>
        <v>0</v>
      </c>
      <c r="K17" s="5">
        <f>(V17-data!F14)*D17</f>
        <v>0</v>
      </c>
      <c r="L17" s="5" t="e">
        <f>(V17-data!F14)*(E17+H17)</f>
        <v>#N/A</v>
      </c>
      <c r="M17" s="5" t="e">
        <f>(V17-data!F14)*(F17+I17)</f>
        <v>#N/A</v>
      </c>
      <c r="N17" s="5">
        <f>(V17-data!F14)*(G17+J17)</f>
        <v>0</v>
      </c>
      <c r="O17" s="5">
        <f>(data!F14/2)*INPUT!$F$53</f>
        <v>51096096</v>
      </c>
      <c r="P17" s="5">
        <f t="shared" si="2"/>
        <v>51096096</v>
      </c>
      <c r="Q17" s="5" t="e">
        <f t="shared" si="3"/>
        <v>#N/A</v>
      </c>
      <c r="R17" s="5" t="e">
        <f>(SUM(K17:M17)*INPUT!$E$35)+(SUM(K17:N17)*INPUT!$E$37)+((LCOE!V17-data!F14)*INPUT!$E$38)</f>
        <v>#N/A</v>
      </c>
      <c r="S17" s="5" t="e">
        <f t="shared" si="4"/>
        <v>#N/A</v>
      </c>
      <c r="T17" s="5" t="e">
        <f>SUM(K17:N17)*(INPUT!$F$39)+SUM($O17:$P17)*INPUT!$F$54</f>
        <v>#N/A</v>
      </c>
      <c r="U17" s="5" t="e">
        <f t="shared" si="5"/>
        <v>#N/A</v>
      </c>
      <c r="V17" s="5">
        <f>data!D14*1000</f>
        <v>157680000</v>
      </c>
      <c r="W17" s="94" t="s">
        <v>76</v>
      </c>
      <c r="X17" s="95">
        <f t="shared" si="6"/>
        <v>2032</v>
      </c>
      <c r="Y17" s="109" t="e">
        <f t="shared" si="8"/>
        <v>#N/A</v>
      </c>
      <c r="Z17" s="189" t="e">
        <f>'table b_less3.2%ppd'!Z17</f>
        <v>#N/A</v>
      </c>
      <c r="AB17" s="112"/>
    </row>
    <row r="18" spans="2:28" x14ac:dyDescent="0.3">
      <c r="B18" s="3">
        <v>2033</v>
      </c>
      <c r="C18" s="4">
        <v>11</v>
      </c>
      <c r="D18" s="7">
        <f>INPUT!$F$26</f>
        <v>0</v>
      </c>
      <c r="E18" s="7">
        <f t="shared" si="7"/>
        <v>0</v>
      </c>
      <c r="F18" s="7">
        <f t="shared" si="0"/>
        <v>0</v>
      </c>
      <c r="G18" s="7">
        <f t="shared" si="1"/>
        <v>0</v>
      </c>
      <c r="H18" s="7" t="e">
        <f>H17*(1+CHOOSE(H$5,INPUT!$D70,INPUT!$E70))</f>
        <v>#N/A</v>
      </c>
      <c r="I18" s="7" t="e">
        <f>I17*(1+CHOOSE(I$5,INPUT!$D70,INPUT!$E70))</f>
        <v>#N/A</v>
      </c>
      <c r="J18" s="7">
        <f>J17*(1+CHOOSE(J$5,INPUT!$E70,INPUT!$F70))</f>
        <v>0</v>
      </c>
      <c r="K18" s="5">
        <f>(V18-data!F15)*D18</f>
        <v>0</v>
      </c>
      <c r="L18" s="5" t="e">
        <f>(V18-data!F15)*(E18+H18)</f>
        <v>#N/A</v>
      </c>
      <c r="M18" s="5" t="e">
        <f>(V18-data!F15)*(F18+I18)</f>
        <v>#N/A</v>
      </c>
      <c r="N18" s="5">
        <f>(V18-data!F15)*(G18+J18)</f>
        <v>0</v>
      </c>
      <c r="O18" s="5">
        <f>(data!F15/2)*INPUT!$F$53</f>
        <v>2838672</v>
      </c>
      <c r="P18" s="5">
        <f t="shared" ref="P18" si="9">O18</f>
        <v>2838672</v>
      </c>
      <c r="Q18" s="5" t="e">
        <f t="shared" si="3"/>
        <v>#N/A</v>
      </c>
      <c r="R18" s="5" t="e">
        <f>(SUM(K18:M18)*INPUT!$E$35)+(SUM(K18:N18)*INPUT!$E$37)+((LCOE!V18-data!F15)*INPUT!$E$38)</f>
        <v>#N/A</v>
      </c>
      <c r="S18" s="5" t="e">
        <f t="shared" ref="S18" si="10">Q18-R18</f>
        <v>#N/A</v>
      </c>
      <c r="T18" s="5" t="e">
        <f>SUM(K18:N18)*(INPUT!$F$39)+SUM($O18:$P18)*INPUT!$F$54</f>
        <v>#N/A</v>
      </c>
      <c r="U18" s="5" t="e">
        <f>SUM(S18,T18)</f>
        <v>#N/A</v>
      </c>
      <c r="V18" s="5">
        <f>data!D15*1000</f>
        <v>8760000</v>
      </c>
      <c r="W18" s="94" t="s">
        <v>138</v>
      </c>
      <c r="X18" s="95">
        <f t="shared" ref="X18" si="11">B18</f>
        <v>2033</v>
      </c>
      <c r="Y18" s="109" t="e">
        <f t="shared" ref="Y18" si="12">U18/V18</f>
        <v>#N/A</v>
      </c>
      <c r="Z18" s="189" t="e">
        <f>'table b_less3.2%ppd'!Z18</f>
        <v>#N/A</v>
      </c>
      <c r="AB18" s="112"/>
    </row>
    <row r="19" spans="2:28" ht="27.75" customHeight="1" x14ac:dyDescent="0.3">
      <c r="I19" s="2"/>
      <c r="J19" s="2"/>
      <c r="K19" s="2"/>
      <c r="L19" s="2"/>
      <c r="M19" s="2"/>
      <c r="N19" s="2"/>
      <c r="S19" s="304" t="s">
        <v>26</v>
      </c>
      <c r="T19" s="305"/>
      <c r="U19" s="299" t="e">
        <f>SUM(U8:U18)/SUM(V8:V18)</f>
        <v>#N/A</v>
      </c>
      <c r="V19" s="300"/>
      <c r="W19" s="94"/>
    </row>
    <row r="20" spans="2:28" s="96" customFormat="1" ht="15.6" x14ac:dyDescent="0.3">
      <c r="B20" s="39"/>
      <c r="C20" s="24"/>
      <c r="D20" s="24"/>
      <c r="E20" s="24"/>
      <c r="F20" s="24"/>
      <c r="G20" s="24"/>
      <c r="H20" s="24"/>
      <c r="V20" s="97"/>
      <c r="W20" s="97"/>
    </row>
    <row r="21" spans="2:28" ht="15.6" x14ac:dyDescent="0.3">
      <c r="B21" s="12"/>
      <c r="C21" s="13"/>
      <c r="D21" s="13"/>
      <c r="E21" s="13"/>
      <c r="F21" s="13"/>
      <c r="G21" s="13"/>
      <c r="H21" s="13"/>
      <c r="I21" s="98"/>
      <c r="V21" s="95"/>
      <c r="W21" s="95"/>
    </row>
    <row r="22" spans="2:28" x14ac:dyDescent="0.3">
      <c r="V22" s="95"/>
      <c r="W22" s="95"/>
    </row>
    <row r="23" spans="2:28" x14ac:dyDescent="0.3">
      <c r="V23" s="95"/>
      <c r="W23" s="95"/>
    </row>
    <row r="24" spans="2:28" x14ac:dyDescent="0.3">
      <c r="V24" s="95"/>
      <c r="W24" s="95"/>
    </row>
    <row r="44" spans="21:22" x14ac:dyDescent="0.3">
      <c r="U44" s="99"/>
      <c r="V44" s="100"/>
    </row>
  </sheetData>
  <sheetProtection algorithmName="SHA-512" hashValue="qK8YNB0c/ITFO9e4VI4CT/X2VPna/OpGy0BB7C0FMrqSO4B4kRR8ICy6f763bhBj0S2C8pWMr4QoXW4JGwz3AA==" saltValue="cvqxJmLX+Inm9p8CuJwh7w==" spinCount="100000" sheet="1" objects="1" scenarios="1"/>
  <mergeCells count="17">
    <mergeCell ref="M5:M6"/>
    <mergeCell ref="N5:N6"/>
    <mergeCell ref="O5:O6"/>
    <mergeCell ref="B4:Q4"/>
    <mergeCell ref="R4:R6"/>
    <mergeCell ref="B5:B6"/>
    <mergeCell ref="P5:P6"/>
    <mergeCell ref="Q5:Q6"/>
    <mergeCell ref="C5:C6"/>
    <mergeCell ref="K5:K6"/>
    <mergeCell ref="L5:L6"/>
    <mergeCell ref="U19:V19"/>
    <mergeCell ref="V4:V6"/>
    <mergeCell ref="U4:U6"/>
    <mergeCell ref="T4:T6"/>
    <mergeCell ref="S4:S6"/>
    <mergeCell ref="S19:T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B5:AB56"/>
  <sheetViews>
    <sheetView zoomScale="70" zoomScaleNormal="70" workbookViewId="0">
      <selection activeCell="V39" sqref="V39"/>
    </sheetView>
  </sheetViews>
  <sheetFormatPr defaultColWidth="9.109375" defaultRowHeight="13.8" x14ac:dyDescent="0.3"/>
  <cols>
    <col min="1" max="1" width="4.5546875" style="137" customWidth="1"/>
    <col min="2" max="2" width="5.33203125" style="137" bestFit="1" customWidth="1"/>
    <col min="3" max="3" width="7.5546875" style="138" customWidth="1"/>
    <col min="4" max="4" width="13.88671875" style="137" bestFit="1" customWidth="1"/>
    <col min="5" max="5" width="12" style="137" customWidth="1"/>
    <col min="6" max="10" width="11.5546875" style="137" customWidth="1"/>
    <col min="11" max="11" width="12" style="137" customWidth="1"/>
    <col min="12" max="12" width="13" style="137" customWidth="1"/>
    <col min="13" max="13" width="14.5546875" style="137" customWidth="1"/>
    <col min="14" max="14" width="14.88671875" style="137" customWidth="1"/>
    <col min="15" max="15" width="7" style="137" customWidth="1"/>
    <col min="16" max="16" width="12.6640625" style="137" bestFit="1" customWidth="1"/>
    <col min="17" max="17" width="8" style="137" customWidth="1"/>
    <col min="18" max="18" width="11.33203125" style="137" customWidth="1"/>
    <col min="19" max="16384" width="9.109375" style="137"/>
  </cols>
  <sheetData>
    <row r="5" spans="2:23" x14ac:dyDescent="0.3">
      <c r="Q5" s="139" t="s">
        <v>103</v>
      </c>
    </row>
    <row r="6" spans="2:23" x14ac:dyDescent="0.3">
      <c r="Q6" s="139"/>
    </row>
    <row r="7" spans="2:23" ht="22.8" x14ac:dyDescent="0.3">
      <c r="B7" s="314" t="s">
        <v>94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</row>
    <row r="9" spans="2:23" hidden="1" x14ac:dyDescent="0.3"/>
    <row r="15" spans="2:23" ht="19.2" x14ac:dyDescent="0.3">
      <c r="D15" s="317" t="s">
        <v>128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P15" s="316" t="s">
        <v>147</v>
      </c>
      <c r="Q15" s="316"/>
      <c r="R15" s="316"/>
      <c r="S15" s="316"/>
      <c r="T15" s="169"/>
    </row>
    <row r="16" spans="2:23" s="143" customFormat="1" ht="15" customHeight="1" x14ac:dyDescent="0.3">
      <c r="B16" s="140"/>
      <c r="C16" s="141"/>
      <c r="D16" s="142">
        <v>2023</v>
      </c>
      <c r="E16" s="142">
        <v>2024</v>
      </c>
      <c r="F16" s="142">
        <v>2025</v>
      </c>
      <c r="G16" s="142">
        <v>2026</v>
      </c>
      <c r="H16" s="142">
        <v>2027</v>
      </c>
      <c r="I16" s="142">
        <v>2028</v>
      </c>
      <c r="J16" s="142">
        <v>2029</v>
      </c>
      <c r="K16" s="142">
        <v>2030</v>
      </c>
      <c r="L16" s="142">
        <v>2031</v>
      </c>
      <c r="M16" s="142">
        <v>2032</v>
      </c>
      <c r="N16" s="142">
        <v>2033</v>
      </c>
      <c r="P16" s="316"/>
      <c r="Q16" s="316"/>
      <c r="R16" s="316"/>
      <c r="S16" s="316"/>
      <c r="T16" s="168"/>
      <c r="U16" s="168"/>
      <c r="V16" s="168"/>
      <c r="W16" s="168"/>
    </row>
    <row r="17" spans="2:28" ht="15.75" customHeight="1" x14ac:dyDescent="0.3">
      <c r="B17" s="144"/>
      <c r="C17" s="141" t="s">
        <v>39</v>
      </c>
      <c r="D17" s="145">
        <f>INPUT!F26</f>
        <v>0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P17" s="168"/>
      <c r="Q17" s="168"/>
      <c r="R17" s="168"/>
      <c r="S17" s="168"/>
      <c r="T17" s="168"/>
      <c r="U17" s="168"/>
      <c r="V17" s="168"/>
      <c r="W17" s="168"/>
    </row>
    <row r="18" spans="2:28" ht="15.75" customHeight="1" x14ac:dyDescent="0.3">
      <c r="B18" s="144"/>
      <c r="C18" s="141" t="s">
        <v>40</v>
      </c>
      <c r="D18" s="145">
        <f>INPUT!F27</f>
        <v>0</v>
      </c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P18" s="168"/>
      <c r="Q18" s="168"/>
      <c r="R18" s="168"/>
      <c r="S18" s="168"/>
      <c r="T18" s="168"/>
      <c r="U18" s="171"/>
      <c r="V18" s="171"/>
      <c r="W18" s="171"/>
    </row>
    <row r="19" spans="2:28" ht="15.75" customHeight="1" x14ac:dyDescent="0.3">
      <c r="B19" s="144"/>
      <c r="C19" s="141" t="s">
        <v>41</v>
      </c>
      <c r="D19" s="145">
        <f>INPUT!F28</f>
        <v>0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U19" s="165"/>
      <c r="V19" s="165"/>
      <c r="W19" s="165"/>
    </row>
    <row r="20" spans="2:28" ht="15.75" hidden="1" customHeight="1" x14ac:dyDescent="0.3">
      <c r="B20" s="144"/>
      <c r="C20" s="141"/>
      <c r="D20" s="145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U20" s="165"/>
      <c r="V20" s="165"/>
      <c r="W20" s="165"/>
    </row>
    <row r="21" spans="2:28" ht="17.399999999999999" x14ac:dyDescent="0.3">
      <c r="B21" s="322" t="s">
        <v>79</v>
      </c>
      <c r="C21" s="146">
        <v>1</v>
      </c>
      <c r="D21" s="147">
        <f>LCOE!Z8</f>
        <v>0.68698454794520558</v>
      </c>
      <c r="E21" s="147" t="e">
        <f>LCOE!Z9</f>
        <v>#N/A</v>
      </c>
      <c r="F21" s="147" t="e">
        <f>LCOE!Z10</f>
        <v>#N/A</v>
      </c>
      <c r="G21" s="147" t="e">
        <f>LCOE!Z11</f>
        <v>#N/A</v>
      </c>
      <c r="H21" s="147" t="e">
        <f>LCOE!Z12</f>
        <v>#N/A</v>
      </c>
      <c r="I21" s="147" t="e">
        <f>LCOE!Z13</f>
        <v>#N/A</v>
      </c>
      <c r="J21" s="147" t="e">
        <f>LCOE!Z14</f>
        <v>#N/A</v>
      </c>
      <c r="K21" s="147" t="e">
        <f>LCOE!Z15</f>
        <v>#N/A</v>
      </c>
      <c r="L21" s="147" t="e">
        <f>LCOE!Z16</f>
        <v>#N/A</v>
      </c>
      <c r="M21" s="147" t="e">
        <f>LCOE!Z17</f>
        <v>#N/A</v>
      </c>
      <c r="N21" s="147" t="e">
        <f>LCOE!Z18</f>
        <v>#N/A</v>
      </c>
      <c r="O21" s="148" t="s">
        <v>1</v>
      </c>
      <c r="P21" s="149" t="e">
        <f>'table b_less3.2%ppd'!V20</f>
        <v>#N/A</v>
      </c>
    </row>
    <row r="22" spans="2:28" ht="17.399999999999999" x14ac:dyDescent="0.3">
      <c r="B22" s="322"/>
      <c r="C22" s="146">
        <v>0.9</v>
      </c>
      <c r="D22" s="150">
        <f>D21/$C$22</f>
        <v>0.76331616438356176</v>
      </c>
      <c r="E22" s="150" t="e">
        <f t="shared" ref="E22:M22" si="0">E21/$C$22</f>
        <v>#N/A</v>
      </c>
      <c r="F22" s="150" t="e">
        <f t="shared" si="0"/>
        <v>#N/A</v>
      </c>
      <c r="G22" s="150" t="e">
        <f t="shared" si="0"/>
        <v>#N/A</v>
      </c>
      <c r="H22" s="150" t="e">
        <f t="shared" si="0"/>
        <v>#N/A</v>
      </c>
      <c r="I22" s="150" t="e">
        <f t="shared" si="0"/>
        <v>#N/A</v>
      </c>
      <c r="J22" s="150" t="e">
        <f t="shared" si="0"/>
        <v>#N/A</v>
      </c>
      <c r="K22" s="150" t="e">
        <f t="shared" si="0"/>
        <v>#N/A</v>
      </c>
      <c r="L22" s="150" t="e">
        <f t="shared" si="0"/>
        <v>#N/A</v>
      </c>
      <c r="M22" s="150" t="e">
        <f t="shared" si="0"/>
        <v>#N/A</v>
      </c>
      <c r="N22" s="150" t="e">
        <f t="shared" ref="N22" si="1">N21/$C$22</f>
        <v>#N/A</v>
      </c>
      <c r="O22" s="148"/>
      <c r="P22" s="151"/>
      <c r="U22" s="177" t="s">
        <v>131</v>
      </c>
      <c r="V22" s="144"/>
      <c r="W22" s="144"/>
      <c r="X22" s="144"/>
      <c r="Y22" s="144"/>
      <c r="Z22" s="144"/>
      <c r="AA22" s="144"/>
      <c r="AB22" s="144"/>
    </row>
    <row r="23" spans="2:28" ht="17.399999999999999" x14ac:dyDescent="0.3">
      <c r="B23" s="322"/>
      <c r="C23" s="146">
        <v>0.8</v>
      </c>
      <c r="D23" s="150">
        <f>D21/$C$23</f>
        <v>0.85873068493150695</v>
      </c>
      <c r="E23" s="150" t="e">
        <f t="shared" ref="E23:M23" si="2">E21/$C$23</f>
        <v>#N/A</v>
      </c>
      <c r="F23" s="150" t="e">
        <f t="shared" si="2"/>
        <v>#N/A</v>
      </c>
      <c r="G23" s="150" t="e">
        <f t="shared" si="2"/>
        <v>#N/A</v>
      </c>
      <c r="H23" s="150" t="e">
        <f t="shared" si="2"/>
        <v>#N/A</v>
      </c>
      <c r="I23" s="150" t="e">
        <f t="shared" si="2"/>
        <v>#N/A</v>
      </c>
      <c r="J23" s="150" t="e">
        <f t="shared" si="2"/>
        <v>#N/A</v>
      </c>
      <c r="K23" s="150" t="e">
        <f t="shared" si="2"/>
        <v>#N/A</v>
      </c>
      <c r="L23" s="150" t="e">
        <f t="shared" si="2"/>
        <v>#N/A</v>
      </c>
      <c r="M23" s="150" t="e">
        <f t="shared" si="2"/>
        <v>#N/A</v>
      </c>
      <c r="N23" s="150" t="e">
        <f t="shared" ref="N23" si="3">N21/$C$23</f>
        <v>#N/A</v>
      </c>
      <c r="O23" s="148"/>
      <c r="P23" s="230"/>
      <c r="U23" s="211" t="s">
        <v>145</v>
      </c>
      <c r="V23" s="144"/>
      <c r="W23" s="144"/>
      <c r="X23" s="144"/>
      <c r="Y23" s="144"/>
      <c r="Z23" s="144"/>
      <c r="AA23" s="144"/>
      <c r="AB23" s="144"/>
    </row>
    <row r="24" spans="2:28" ht="17.399999999999999" x14ac:dyDescent="0.3">
      <c r="B24" s="322"/>
      <c r="C24" s="146">
        <v>0.7</v>
      </c>
      <c r="D24" s="150">
        <f>D21/$C$24</f>
        <v>0.9814064970645795</v>
      </c>
      <c r="E24" s="150" t="e">
        <f t="shared" ref="E24:M24" si="4">E21/$C$24</f>
        <v>#N/A</v>
      </c>
      <c r="F24" s="150" t="e">
        <f t="shared" si="4"/>
        <v>#N/A</v>
      </c>
      <c r="G24" s="150" t="e">
        <f t="shared" si="4"/>
        <v>#N/A</v>
      </c>
      <c r="H24" s="150" t="e">
        <f t="shared" si="4"/>
        <v>#N/A</v>
      </c>
      <c r="I24" s="150" t="e">
        <f t="shared" si="4"/>
        <v>#N/A</v>
      </c>
      <c r="J24" s="150" t="e">
        <f t="shared" si="4"/>
        <v>#N/A</v>
      </c>
      <c r="K24" s="150" t="e">
        <f t="shared" si="4"/>
        <v>#N/A</v>
      </c>
      <c r="L24" s="150" t="e">
        <f t="shared" si="4"/>
        <v>#N/A</v>
      </c>
      <c r="M24" s="150" t="e">
        <f t="shared" si="4"/>
        <v>#N/A</v>
      </c>
      <c r="N24" s="150" t="e">
        <f t="shared" ref="N24" si="5">N21/$C$24</f>
        <v>#N/A</v>
      </c>
      <c r="O24" s="148"/>
      <c r="P24" s="151"/>
      <c r="U24" s="178" t="s">
        <v>101</v>
      </c>
      <c r="V24" s="144"/>
      <c r="W24" s="144"/>
      <c r="X24" s="144"/>
      <c r="Y24" s="144"/>
      <c r="Z24" s="144"/>
      <c r="AA24" s="144"/>
      <c r="AB24" s="144"/>
    </row>
    <row r="25" spans="2:28" x14ac:dyDescent="0.3">
      <c r="U25" s="178" t="s">
        <v>107</v>
      </c>
      <c r="V25" s="144"/>
      <c r="W25" s="144"/>
      <c r="X25" s="144"/>
      <c r="Y25" s="144"/>
      <c r="Z25" s="144"/>
      <c r="AA25" s="144"/>
      <c r="AB25" s="144"/>
    </row>
    <row r="26" spans="2:28" ht="19.2" x14ac:dyDescent="0.3">
      <c r="D26" s="319" t="s">
        <v>129</v>
      </c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U26" s="178" t="s">
        <v>102</v>
      </c>
      <c r="AB26" s="144"/>
    </row>
    <row r="27" spans="2:28" x14ac:dyDescent="0.3">
      <c r="C27" s="141"/>
      <c r="D27" s="142">
        <f t="shared" ref="D27:N27" si="6">D16</f>
        <v>2023</v>
      </c>
      <c r="E27" s="142">
        <f t="shared" si="6"/>
        <v>2024</v>
      </c>
      <c r="F27" s="142">
        <f t="shared" si="6"/>
        <v>2025</v>
      </c>
      <c r="G27" s="142">
        <f t="shared" si="6"/>
        <v>2026</v>
      </c>
      <c r="H27" s="142">
        <f t="shared" si="6"/>
        <v>2027</v>
      </c>
      <c r="I27" s="142">
        <f t="shared" si="6"/>
        <v>2028</v>
      </c>
      <c r="J27" s="142">
        <f t="shared" si="6"/>
        <v>2029</v>
      </c>
      <c r="K27" s="142">
        <f t="shared" si="6"/>
        <v>2030</v>
      </c>
      <c r="L27" s="142">
        <f t="shared" si="6"/>
        <v>2031</v>
      </c>
      <c r="M27" s="142">
        <f t="shared" si="6"/>
        <v>2032</v>
      </c>
      <c r="N27" s="142">
        <f t="shared" si="6"/>
        <v>2033</v>
      </c>
      <c r="AB27" s="144"/>
    </row>
    <row r="28" spans="2:28" ht="15.75" customHeight="1" x14ac:dyDescent="0.3">
      <c r="C28" s="141" t="s">
        <v>39</v>
      </c>
      <c r="D28" s="145">
        <f>D17</f>
        <v>0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V28" s="144"/>
      <c r="W28" s="144"/>
      <c r="X28" s="144"/>
      <c r="Y28" s="144"/>
      <c r="Z28" s="144"/>
      <c r="AA28" s="144"/>
      <c r="AB28" s="144"/>
    </row>
    <row r="29" spans="2:28" ht="15.75" customHeight="1" x14ac:dyDescent="0.3">
      <c r="C29" s="141" t="s">
        <v>40</v>
      </c>
      <c r="D29" s="145">
        <f>D18</f>
        <v>0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V29" s="144"/>
      <c r="W29" s="144"/>
      <c r="X29" s="144"/>
      <c r="Y29" s="144"/>
      <c r="Z29" s="144"/>
      <c r="AA29" s="144"/>
      <c r="AB29" s="144"/>
    </row>
    <row r="30" spans="2:28" ht="15.75" customHeight="1" x14ac:dyDescent="0.3">
      <c r="C30" s="141" t="s">
        <v>41</v>
      </c>
      <c r="D30" s="145">
        <f>D19</f>
        <v>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U30" s="179"/>
      <c r="V30" s="144"/>
      <c r="W30" s="144"/>
      <c r="X30" s="144"/>
      <c r="Y30" s="144"/>
      <c r="Z30" s="144"/>
      <c r="AA30" s="144"/>
      <c r="AB30" s="144"/>
    </row>
    <row r="31" spans="2:28" ht="15.75" hidden="1" customHeight="1" x14ac:dyDescent="0.3">
      <c r="C31" s="141"/>
      <c r="D31" s="145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U31" s="178"/>
      <c r="V31" s="144"/>
      <c r="W31" s="144"/>
      <c r="X31" s="144"/>
      <c r="Y31" s="144"/>
      <c r="Z31" s="144"/>
      <c r="AA31" s="144"/>
      <c r="AB31" s="144"/>
    </row>
    <row r="32" spans="2:28" ht="17.399999999999999" x14ac:dyDescent="0.3">
      <c r="B32" s="322" t="s">
        <v>79</v>
      </c>
      <c r="C32" s="146">
        <v>1</v>
      </c>
      <c r="D32" s="147">
        <f>LCOE!Y8</f>
        <v>0.68698454794520558</v>
      </c>
      <c r="E32" s="147" t="e">
        <f>LCOE!Y9</f>
        <v>#N/A</v>
      </c>
      <c r="F32" s="147" t="e">
        <f>LCOE!Y10</f>
        <v>#N/A</v>
      </c>
      <c r="G32" s="147" t="e">
        <f>LCOE!Y11</f>
        <v>#N/A</v>
      </c>
      <c r="H32" s="147" t="e">
        <f>LCOE!Y12</f>
        <v>#N/A</v>
      </c>
      <c r="I32" s="147" t="e">
        <f>LCOE!Y13</f>
        <v>#N/A</v>
      </c>
      <c r="J32" s="147" t="e">
        <f>LCOE!Y14</f>
        <v>#N/A</v>
      </c>
      <c r="K32" s="147" t="e">
        <f>LCOE!Y15</f>
        <v>#N/A</v>
      </c>
      <c r="L32" s="147" t="e">
        <f>LCOE!Y16</f>
        <v>#N/A</v>
      </c>
      <c r="M32" s="147" t="e">
        <f>LCOE!Y17</f>
        <v>#N/A</v>
      </c>
      <c r="N32" s="147" t="e">
        <f>LCOE!Y18</f>
        <v>#N/A</v>
      </c>
      <c r="O32" s="153" t="s">
        <v>1</v>
      </c>
      <c r="P32" s="149" t="e">
        <f>LCOE!U19</f>
        <v>#N/A</v>
      </c>
      <c r="U32" s="180"/>
      <c r="V32" s="144"/>
      <c r="W32" s="144"/>
      <c r="X32" s="144"/>
      <c r="Y32" s="144"/>
      <c r="Z32" s="144"/>
      <c r="AA32" s="144"/>
      <c r="AB32" s="144"/>
    </row>
    <row r="33" spans="2:28" ht="17.399999999999999" x14ac:dyDescent="0.3">
      <c r="B33" s="322"/>
      <c r="C33" s="146">
        <v>0.9</v>
      </c>
      <c r="D33" s="150">
        <f>D32/$C$33</f>
        <v>0.76331616438356176</v>
      </c>
      <c r="E33" s="150" t="e">
        <f t="shared" ref="E33:M33" si="7">E32/$C$33</f>
        <v>#N/A</v>
      </c>
      <c r="F33" s="150" t="e">
        <f t="shared" si="7"/>
        <v>#N/A</v>
      </c>
      <c r="G33" s="150" t="e">
        <f t="shared" si="7"/>
        <v>#N/A</v>
      </c>
      <c r="H33" s="150" t="e">
        <f t="shared" si="7"/>
        <v>#N/A</v>
      </c>
      <c r="I33" s="150" t="e">
        <f t="shared" si="7"/>
        <v>#N/A</v>
      </c>
      <c r="J33" s="150" t="e">
        <f t="shared" si="7"/>
        <v>#N/A</v>
      </c>
      <c r="K33" s="150" t="e">
        <f t="shared" si="7"/>
        <v>#N/A</v>
      </c>
      <c r="L33" s="150" t="e">
        <f t="shared" si="7"/>
        <v>#N/A</v>
      </c>
      <c r="M33" s="150" t="e">
        <f t="shared" si="7"/>
        <v>#N/A</v>
      </c>
      <c r="N33" s="150" t="e">
        <f t="shared" ref="N33" si="8">N32/$C$33</f>
        <v>#N/A</v>
      </c>
      <c r="O33" s="153"/>
      <c r="P33" s="151"/>
      <c r="U33" s="187"/>
      <c r="V33" s="144"/>
      <c r="W33" s="144"/>
      <c r="X33" s="144"/>
      <c r="Y33" s="144"/>
      <c r="Z33" s="144"/>
      <c r="AA33" s="144"/>
      <c r="AB33" s="144"/>
    </row>
    <row r="34" spans="2:28" ht="17.399999999999999" x14ac:dyDescent="0.3">
      <c r="B34" s="322"/>
      <c r="C34" s="146">
        <v>0.8</v>
      </c>
      <c r="D34" s="150">
        <f>D32/$C$34</f>
        <v>0.85873068493150695</v>
      </c>
      <c r="E34" s="150" t="e">
        <f t="shared" ref="E34:M34" si="9">E32/$C$34</f>
        <v>#N/A</v>
      </c>
      <c r="F34" s="150" t="e">
        <f t="shared" si="9"/>
        <v>#N/A</v>
      </c>
      <c r="G34" s="150" t="e">
        <f t="shared" si="9"/>
        <v>#N/A</v>
      </c>
      <c r="H34" s="150" t="e">
        <f t="shared" si="9"/>
        <v>#N/A</v>
      </c>
      <c r="I34" s="150" t="e">
        <f t="shared" si="9"/>
        <v>#N/A</v>
      </c>
      <c r="J34" s="150" t="e">
        <f t="shared" si="9"/>
        <v>#N/A</v>
      </c>
      <c r="K34" s="150" t="e">
        <f t="shared" si="9"/>
        <v>#N/A</v>
      </c>
      <c r="L34" s="150" t="e">
        <f t="shared" si="9"/>
        <v>#N/A</v>
      </c>
      <c r="M34" s="150" t="e">
        <f t="shared" si="9"/>
        <v>#N/A</v>
      </c>
      <c r="N34" s="150" t="e">
        <f t="shared" ref="N34" si="10">N32/$C$34</f>
        <v>#N/A</v>
      </c>
      <c r="O34" s="153"/>
      <c r="P34" s="151"/>
      <c r="U34" s="182"/>
      <c r="V34" s="144"/>
      <c r="W34" s="144"/>
      <c r="X34" s="144"/>
      <c r="Y34" s="144"/>
      <c r="Z34" s="144"/>
      <c r="AA34" s="144"/>
      <c r="AB34" s="144"/>
    </row>
    <row r="35" spans="2:28" ht="17.399999999999999" x14ac:dyDescent="0.3">
      <c r="B35" s="322"/>
      <c r="C35" s="146">
        <v>0.7</v>
      </c>
      <c r="D35" s="150">
        <f>D32/$C$35</f>
        <v>0.9814064970645795</v>
      </c>
      <c r="E35" s="150" t="e">
        <f t="shared" ref="E35:M35" si="11">E32/$C$35</f>
        <v>#N/A</v>
      </c>
      <c r="F35" s="150" t="e">
        <f t="shared" si="11"/>
        <v>#N/A</v>
      </c>
      <c r="G35" s="150" t="e">
        <f t="shared" si="11"/>
        <v>#N/A</v>
      </c>
      <c r="H35" s="150" t="e">
        <f t="shared" si="11"/>
        <v>#N/A</v>
      </c>
      <c r="I35" s="150" t="e">
        <f t="shared" si="11"/>
        <v>#N/A</v>
      </c>
      <c r="J35" s="150" t="e">
        <f t="shared" si="11"/>
        <v>#N/A</v>
      </c>
      <c r="K35" s="150" t="e">
        <f t="shared" si="11"/>
        <v>#N/A</v>
      </c>
      <c r="L35" s="150" t="e">
        <f t="shared" si="11"/>
        <v>#N/A</v>
      </c>
      <c r="M35" s="150" t="e">
        <f t="shared" si="11"/>
        <v>#N/A</v>
      </c>
      <c r="N35" s="150" t="e">
        <f t="shared" ref="N35" si="12">N32/$C$35</f>
        <v>#N/A</v>
      </c>
      <c r="O35" s="153"/>
      <c r="P35" s="151"/>
      <c r="U35" s="178"/>
      <c r="V35" s="144"/>
      <c r="W35" s="144"/>
      <c r="X35" s="144"/>
      <c r="Y35" s="144"/>
      <c r="Z35" s="144"/>
      <c r="AA35" s="144"/>
      <c r="AB35" s="144"/>
    </row>
    <row r="36" spans="2:28" x14ac:dyDescent="0.3">
      <c r="U36" s="180"/>
      <c r="V36" s="144"/>
      <c r="W36" s="144"/>
      <c r="X36" s="144"/>
      <c r="Y36" s="144"/>
      <c r="Z36" s="144"/>
      <c r="AA36" s="144"/>
      <c r="AB36" s="144"/>
    </row>
    <row r="37" spans="2:28" x14ac:dyDescent="0.3">
      <c r="D37" s="313" t="s">
        <v>116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</row>
    <row r="38" spans="2:28" x14ac:dyDescent="0.3"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</row>
    <row r="40" spans="2:28" x14ac:dyDescent="0.3">
      <c r="D40" s="164"/>
      <c r="E40" s="190" t="str">
        <f>CONCATENATE(IF(INPUT!$E$35&lt;0,"",CONCATENATE("1."," ",INPUT!$E$35*100))," ","percent (",INPUT!$E$35*100,"%) of the Capacity Fee")</f>
        <v>1. 0 percent (0%) of the Capacity Fee</v>
      </c>
    </row>
    <row r="41" spans="2:28" x14ac:dyDescent="0.3">
      <c r="E41" s="190" t="str">
        <f>CONCATENATE(IF(INPUT!$E$37&lt;0,"",CONCATENATE("2."," ","Additional"," ",INPUT!$E$37*100))," ","percent (",INPUT!$E$37*100,"%) of Prompt Payment Discount (PPD)")</f>
        <v>2. Additional 0 percent (0%) of Prompt Payment Discount (PPD)</v>
      </c>
    </row>
    <row r="42" spans="2:28" x14ac:dyDescent="0.3">
      <c r="E42" s="190" t="str">
        <f>CONCATENATE(IF(INPUT!$E$38&lt;0,"",CONCATENATE("3."," ",INPUT!$E$38))," ","Peso per kWh (",INPUT!$E$38,"Php/kWh) of the Collection Efficiency (CE)")</f>
        <v>3.  Peso per kWh (Php/kWh) of the Collection Efficiency (CE)</v>
      </c>
    </row>
    <row r="44" spans="2:28" x14ac:dyDescent="0.3">
      <c r="D44" s="315" t="s">
        <v>104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</row>
    <row r="45" spans="2:28" ht="15" customHeight="1" x14ac:dyDescent="0.3"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</row>
    <row r="46" spans="2:28" ht="22.2" customHeight="1" x14ac:dyDescent="0.3">
      <c r="E46" s="311" t="s">
        <v>127</v>
      </c>
      <c r="F46" s="312"/>
      <c r="G46" s="312"/>
      <c r="H46" s="312"/>
      <c r="I46" s="312"/>
      <c r="J46" s="312"/>
      <c r="K46" s="312"/>
      <c r="L46" s="312"/>
      <c r="M46" s="312"/>
      <c r="N46" s="212"/>
    </row>
    <row r="47" spans="2:28" x14ac:dyDescent="0.3">
      <c r="E47" s="311" t="s">
        <v>99</v>
      </c>
      <c r="F47" s="312"/>
      <c r="G47" s="312"/>
      <c r="H47" s="312"/>
      <c r="I47" s="312"/>
      <c r="J47" s="312"/>
      <c r="K47" s="312"/>
      <c r="L47" s="312"/>
      <c r="M47" s="312"/>
      <c r="N47" s="212"/>
    </row>
    <row r="51" spans="3:18" x14ac:dyDescent="0.3">
      <c r="D51" s="139" t="s">
        <v>97</v>
      </c>
      <c r="L51" s="139" t="s">
        <v>100</v>
      </c>
    </row>
    <row r="54" spans="3:18" s="148" customFormat="1" x14ac:dyDescent="0.3">
      <c r="C54" s="166"/>
      <c r="D54" s="148" t="s">
        <v>126</v>
      </c>
      <c r="L54" s="148" t="s">
        <v>126</v>
      </c>
    </row>
    <row r="55" spans="3:18" x14ac:dyDescent="0.3">
      <c r="D55" s="139" t="s">
        <v>98</v>
      </c>
      <c r="L55" s="190" t="s">
        <v>125</v>
      </c>
    </row>
    <row r="56" spans="3:18" x14ac:dyDescent="0.3">
      <c r="R56" s="170"/>
    </row>
  </sheetData>
  <sheetProtection algorithmName="SHA-512" hashValue="+29JXHW/Q2/r7SCW5zq/VO7XONxdCn6cCSN8XOtqcU6iJoCfVYv2cQ6+uCBZPpNMqNk+bhMmTbWzK3Kf31/X1w==" saltValue="FOh2bYOD0nPS9CWWMKBvUQ==" spinCount="100000" sheet="1" objects="1" scenarios="1"/>
  <mergeCells count="11">
    <mergeCell ref="E46:M46"/>
    <mergeCell ref="E47:M47"/>
    <mergeCell ref="D37:Q38"/>
    <mergeCell ref="B7:S7"/>
    <mergeCell ref="D44:Q45"/>
    <mergeCell ref="P15:S16"/>
    <mergeCell ref="D15:N15"/>
    <mergeCell ref="E17:N20"/>
    <mergeCell ref="D26:N26"/>
    <mergeCell ref="B32:B35"/>
    <mergeCell ref="B21:B24"/>
  </mergeCells>
  <printOptions horizontalCentered="1"/>
  <pageMargins left="0.2" right="0.2" top="0.25" bottom="0.25" header="0.3" footer="0.3"/>
  <pageSetup paperSize="167" scale="70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K36"/>
  <sheetViews>
    <sheetView workbookViewId="0">
      <selection activeCell="D15" sqref="D15"/>
    </sheetView>
  </sheetViews>
  <sheetFormatPr defaultColWidth="9.109375" defaultRowHeight="13.8" x14ac:dyDescent="0.3"/>
  <cols>
    <col min="1" max="3" width="9.109375" style="14"/>
    <col min="4" max="4" width="16.88671875" style="14" bestFit="1" customWidth="1"/>
    <col min="5" max="5" width="8.5546875" style="14" bestFit="1" customWidth="1"/>
    <col min="6" max="6" width="15.6640625" style="14" bestFit="1" customWidth="1"/>
    <col min="7" max="7" width="16.88671875" style="14" bestFit="1" customWidth="1"/>
    <col min="8" max="9" width="15.6640625" style="14" bestFit="1" customWidth="1"/>
    <col min="10" max="16384" width="9.109375" style="14"/>
  </cols>
  <sheetData>
    <row r="2" spans="2:11" x14ac:dyDescent="0.3">
      <c r="D2" s="197" t="s">
        <v>139</v>
      </c>
    </row>
    <row r="3" spans="2:11" x14ac:dyDescent="0.3">
      <c r="D3" s="16" t="s">
        <v>86</v>
      </c>
      <c r="E3" s="16" t="s">
        <v>87</v>
      </c>
      <c r="F3" s="16" t="s">
        <v>89</v>
      </c>
    </row>
    <row r="4" spans="2:11" x14ac:dyDescent="0.3">
      <c r="G4" s="15"/>
      <c r="I4" s="102"/>
      <c r="J4" s="101"/>
    </row>
    <row r="5" spans="2:11" x14ac:dyDescent="0.2">
      <c r="B5" s="14">
        <v>1</v>
      </c>
      <c r="C5" s="105">
        <v>2023</v>
      </c>
      <c r="D5" s="106">
        <v>26280</v>
      </c>
      <c r="E5" s="17">
        <v>3</v>
      </c>
      <c r="F5" s="106">
        <f>E5*1000*720</f>
        <v>2160000</v>
      </c>
      <c r="G5" s="15"/>
      <c r="H5" s="15"/>
      <c r="I5" s="15"/>
    </row>
    <row r="6" spans="2:11" x14ac:dyDescent="0.2">
      <c r="B6" s="14">
        <v>2</v>
      </c>
      <c r="C6" s="105">
        <v>2024</v>
      </c>
      <c r="D6" s="106">
        <v>87600</v>
      </c>
      <c r="E6" s="17">
        <v>10</v>
      </c>
      <c r="F6" s="106">
        <f>E6*1000*720</f>
        <v>7200000</v>
      </c>
      <c r="G6" s="15"/>
      <c r="H6" s="15"/>
      <c r="I6" s="15"/>
    </row>
    <row r="7" spans="2:11" x14ac:dyDescent="0.2">
      <c r="B7" s="14">
        <v>3</v>
      </c>
      <c r="C7" s="105">
        <v>2025</v>
      </c>
      <c r="D7" s="106">
        <v>96360</v>
      </c>
      <c r="E7" s="17">
        <v>11</v>
      </c>
      <c r="F7" s="106">
        <f t="shared" ref="F7:F15" si="0">E7*1000*720</f>
        <v>7920000</v>
      </c>
      <c r="G7" s="15"/>
      <c r="H7" s="15"/>
      <c r="I7" s="15"/>
    </row>
    <row r="8" spans="2:11" x14ac:dyDescent="0.2">
      <c r="B8" s="14">
        <v>4</v>
      </c>
      <c r="C8" s="105">
        <v>2026</v>
      </c>
      <c r="D8" s="106">
        <v>105120</v>
      </c>
      <c r="E8" s="17">
        <v>12</v>
      </c>
      <c r="F8" s="106">
        <f t="shared" si="0"/>
        <v>8640000</v>
      </c>
      <c r="G8" s="15"/>
      <c r="H8" s="15"/>
      <c r="I8" s="15"/>
    </row>
    <row r="9" spans="2:11" x14ac:dyDescent="0.2">
      <c r="B9" s="14">
        <v>5</v>
      </c>
      <c r="C9" s="105">
        <v>2027</v>
      </c>
      <c r="D9" s="106">
        <v>131400</v>
      </c>
      <c r="E9" s="17">
        <v>15</v>
      </c>
      <c r="F9" s="106">
        <f t="shared" si="0"/>
        <v>10800000</v>
      </c>
      <c r="G9" s="15"/>
      <c r="H9" s="15"/>
      <c r="I9" s="15"/>
    </row>
    <row r="10" spans="2:11" x14ac:dyDescent="0.2">
      <c r="B10" s="14">
        <v>6</v>
      </c>
      <c r="C10" s="105">
        <v>2028</v>
      </c>
      <c r="D10" s="106">
        <v>140160</v>
      </c>
      <c r="E10" s="17">
        <v>16</v>
      </c>
      <c r="F10" s="106">
        <f t="shared" si="0"/>
        <v>11520000</v>
      </c>
      <c r="G10" s="15"/>
      <c r="H10" s="15"/>
      <c r="I10" s="15"/>
      <c r="K10" s="103"/>
    </row>
    <row r="11" spans="2:11" x14ac:dyDescent="0.2">
      <c r="B11" s="14">
        <v>7</v>
      </c>
      <c r="C11" s="105">
        <v>2029</v>
      </c>
      <c r="D11" s="106">
        <v>148920</v>
      </c>
      <c r="E11" s="17">
        <v>17</v>
      </c>
      <c r="F11" s="106">
        <f t="shared" si="0"/>
        <v>12240000</v>
      </c>
      <c r="G11" s="15"/>
      <c r="H11" s="15"/>
      <c r="I11" s="15"/>
    </row>
    <row r="12" spans="2:11" x14ac:dyDescent="0.2">
      <c r="B12" s="14">
        <v>8</v>
      </c>
      <c r="C12" s="105">
        <v>2030</v>
      </c>
      <c r="D12" s="106">
        <v>148920</v>
      </c>
      <c r="E12" s="17">
        <v>17</v>
      </c>
      <c r="F12" s="106">
        <f t="shared" si="0"/>
        <v>12240000</v>
      </c>
      <c r="G12" s="15"/>
      <c r="H12" s="15"/>
      <c r="I12" s="15"/>
    </row>
    <row r="13" spans="2:11" x14ac:dyDescent="0.2">
      <c r="B13" s="14">
        <v>9</v>
      </c>
      <c r="C13" s="105">
        <v>2031</v>
      </c>
      <c r="D13" s="106">
        <v>148920</v>
      </c>
      <c r="E13" s="17">
        <v>17</v>
      </c>
      <c r="F13" s="106">
        <f t="shared" si="0"/>
        <v>12240000</v>
      </c>
      <c r="G13" s="15"/>
      <c r="H13" s="15"/>
      <c r="I13" s="15"/>
    </row>
    <row r="14" spans="2:11" x14ac:dyDescent="0.2">
      <c r="B14" s="14">
        <v>10</v>
      </c>
      <c r="C14" s="105">
        <v>2032</v>
      </c>
      <c r="D14" s="106">
        <v>157680</v>
      </c>
      <c r="E14" s="17">
        <v>18</v>
      </c>
      <c r="F14" s="106">
        <f t="shared" si="0"/>
        <v>12960000</v>
      </c>
      <c r="G14" s="15"/>
      <c r="H14" s="15"/>
      <c r="I14" s="15"/>
    </row>
    <row r="15" spans="2:11" x14ac:dyDescent="0.2">
      <c r="B15" s="14">
        <v>11</v>
      </c>
      <c r="C15" s="105">
        <v>2033</v>
      </c>
      <c r="D15" s="87">
        <v>8760</v>
      </c>
      <c r="E15" s="18">
        <v>1</v>
      </c>
      <c r="F15" s="106">
        <f t="shared" si="0"/>
        <v>720000</v>
      </c>
      <c r="G15" s="15"/>
    </row>
    <row r="16" spans="2:11" x14ac:dyDescent="0.3">
      <c r="C16" s="16" t="s">
        <v>88</v>
      </c>
      <c r="D16" s="15"/>
      <c r="E16" s="15">
        <f>MAX(E5:E15)</f>
        <v>18</v>
      </c>
      <c r="F16" s="15"/>
      <c r="G16" s="15"/>
    </row>
    <row r="22" spans="2:6" x14ac:dyDescent="0.2">
      <c r="B22" s="16"/>
      <c r="C22" s="17"/>
      <c r="D22" s="17"/>
      <c r="E22" s="18"/>
      <c r="F22" s="18"/>
    </row>
    <row r="23" spans="2:6" x14ac:dyDescent="0.2">
      <c r="B23" s="16"/>
      <c r="C23" s="17"/>
      <c r="D23" s="17"/>
      <c r="E23" s="18"/>
      <c r="F23" s="18"/>
    </row>
    <row r="24" spans="2:6" x14ac:dyDescent="0.2">
      <c r="B24" s="16"/>
      <c r="C24" s="17"/>
      <c r="D24" s="17"/>
      <c r="E24" s="18"/>
      <c r="F24" s="18"/>
    </row>
    <row r="25" spans="2:6" x14ac:dyDescent="0.2">
      <c r="B25" s="16"/>
      <c r="C25" s="17"/>
      <c r="D25" s="17"/>
      <c r="E25" s="18"/>
      <c r="F25" s="18"/>
    </row>
    <row r="26" spans="2:6" x14ac:dyDescent="0.2">
      <c r="B26" s="16"/>
      <c r="C26" s="17"/>
      <c r="D26" s="17"/>
      <c r="E26" s="18"/>
      <c r="F26" s="18"/>
    </row>
    <row r="27" spans="2:6" x14ac:dyDescent="0.2">
      <c r="B27" s="16"/>
      <c r="C27" s="17"/>
      <c r="D27" s="17"/>
      <c r="E27" s="18"/>
      <c r="F27" s="18"/>
    </row>
    <row r="28" spans="2:6" x14ac:dyDescent="0.2">
      <c r="B28" s="16"/>
      <c r="C28" s="17"/>
      <c r="D28" s="17"/>
      <c r="E28" s="18"/>
      <c r="F28" s="18"/>
    </row>
    <row r="29" spans="2:6" x14ac:dyDescent="0.2">
      <c r="B29" s="16"/>
      <c r="C29" s="17"/>
      <c r="D29" s="17"/>
      <c r="E29" s="18"/>
      <c r="F29" s="18"/>
    </row>
    <row r="30" spans="2:6" x14ac:dyDescent="0.2">
      <c r="B30" s="16"/>
      <c r="C30" s="17"/>
      <c r="D30" s="17"/>
      <c r="E30" s="18"/>
      <c r="F30" s="18"/>
    </row>
    <row r="31" spans="2:6" x14ac:dyDescent="0.2">
      <c r="B31" s="16"/>
      <c r="C31" s="17"/>
      <c r="D31" s="17"/>
      <c r="E31" s="18"/>
      <c r="F31" s="18"/>
    </row>
    <row r="32" spans="2:6" ht="14.4" x14ac:dyDescent="0.3">
      <c r="B32" s="16"/>
      <c r="C32" s="17"/>
      <c r="D32" s="17"/>
      <c r="E32" s="18"/>
      <c r="F32" s="19"/>
    </row>
    <row r="33" spans="2:6" ht="14.4" x14ac:dyDescent="0.3">
      <c r="B33" s="16"/>
      <c r="C33" s="19"/>
      <c r="D33" s="17"/>
      <c r="E33" s="18"/>
      <c r="F33" s="19"/>
    </row>
    <row r="34" spans="2:6" ht="14.4" x14ac:dyDescent="0.3">
      <c r="B34" s="16"/>
      <c r="C34"/>
      <c r="D34"/>
      <c r="E34"/>
      <c r="F34"/>
    </row>
    <row r="35" spans="2:6" ht="14.4" x14ac:dyDescent="0.3">
      <c r="B35" s="16"/>
      <c r="C35"/>
      <c r="D35"/>
      <c r="E35"/>
      <c r="F35"/>
    </row>
    <row r="36" spans="2:6" ht="14.4" x14ac:dyDescent="0.3">
      <c r="B36" s="16"/>
      <c r="C36"/>
      <c r="D36"/>
      <c r="E36"/>
      <c r="F36"/>
    </row>
  </sheetData>
  <sheetProtection algorithmName="SHA-512" hashValue="UMPm1q3exiEbFcAtPmKl7tIdF398ZND2zfnyIbe14wuvbDrNz2kKsdo+T+tshjhk4VQw5gXEbE9vDQMWV+x49Q==" saltValue="KJwr+2gJuJPtTMDqupUmB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5:AB61"/>
  <sheetViews>
    <sheetView zoomScale="70" zoomScaleNormal="70" workbookViewId="0">
      <selection activeCell="T44" sqref="T44"/>
    </sheetView>
  </sheetViews>
  <sheetFormatPr defaultColWidth="9.109375" defaultRowHeight="13.8" x14ac:dyDescent="0.3"/>
  <cols>
    <col min="1" max="1" width="4.5546875" style="137" customWidth="1"/>
    <col min="2" max="2" width="5.33203125" style="137" bestFit="1" customWidth="1"/>
    <col min="3" max="3" width="7.5546875" style="138" customWidth="1"/>
    <col min="4" max="4" width="13.88671875" style="137" bestFit="1" customWidth="1"/>
    <col min="5" max="5" width="12" style="137" customWidth="1"/>
    <col min="6" max="10" width="11.5546875" style="137" customWidth="1"/>
    <col min="11" max="11" width="12" style="137" customWidth="1"/>
    <col min="12" max="12" width="13" style="137" customWidth="1"/>
    <col min="13" max="13" width="14.5546875" style="137" customWidth="1"/>
    <col min="14" max="14" width="14.88671875" style="137" customWidth="1"/>
    <col min="15" max="15" width="7" style="137" customWidth="1"/>
    <col min="16" max="16" width="12.6640625" style="137" bestFit="1" customWidth="1"/>
    <col min="17" max="17" width="8" style="137" customWidth="1"/>
    <col min="18" max="18" width="11.33203125" style="137" customWidth="1"/>
    <col min="19" max="16384" width="9.109375" style="137"/>
  </cols>
  <sheetData>
    <row r="5" spans="2:23" x14ac:dyDescent="0.3">
      <c r="Q5" s="139" t="s">
        <v>103</v>
      </c>
    </row>
    <row r="6" spans="2:23" x14ac:dyDescent="0.3">
      <c r="Q6" s="139"/>
    </row>
    <row r="7" spans="2:23" ht="22.8" x14ac:dyDescent="0.3">
      <c r="B7" s="314" t="s">
        <v>94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</row>
    <row r="9" spans="2:23" hidden="1" x14ac:dyDescent="0.3"/>
    <row r="15" spans="2:23" ht="19.2" x14ac:dyDescent="0.3">
      <c r="D15" s="317" t="s">
        <v>128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P15" s="316" t="s">
        <v>147</v>
      </c>
      <c r="Q15" s="316"/>
      <c r="R15" s="316"/>
      <c r="S15" s="316"/>
      <c r="T15" s="169"/>
    </row>
    <row r="16" spans="2:23" s="143" customFormat="1" ht="15" customHeight="1" x14ac:dyDescent="0.3">
      <c r="B16" s="140"/>
      <c r="C16" s="141"/>
      <c r="D16" s="142">
        <v>2023</v>
      </c>
      <c r="E16" s="142">
        <v>2024</v>
      </c>
      <c r="F16" s="142">
        <v>2025</v>
      </c>
      <c r="G16" s="142">
        <v>2026</v>
      </c>
      <c r="H16" s="142">
        <v>2027</v>
      </c>
      <c r="I16" s="142">
        <v>2028</v>
      </c>
      <c r="J16" s="142">
        <v>2029</v>
      </c>
      <c r="K16" s="142">
        <v>2030</v>
      </c>
      <c r="L16" s="142">
        <v>2031</v>
      </c>
      <c r="M16" s="142">
        <v>2032</v>
      </c>
      <c r="N16" s="142">
        <v>2033</v>
      </c>
      <c r="P16" s="316"/>
      <c r="Q16" s="316"/>
      <c r="R16" s="316"/>
      <c r="S16" s="316"/>
      <c r="T16" s="168"/>
      <c r="U16" s="168"/>
      <c r="V16" s="168"/>
      <c r="W16" s="168"/>
    </row>
    <row r="17" spans="2:28" ht="15.75" customHeight="1" x14ac:dyDescent="0.3">
      <c r="B17" s="144"/>
      <c r="C17" s="141" t="s">
        <v>39</v>
      </c>
      <c r="D17" s="145">
        <f>INPUT!F26</f>
        <v>0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P17" s="168"/>
      <c r="Q17" s="168"/>
      <c r="R17" s="168"/>
      <c r="S17" s="168"/>
      <c r="T17" s="168"/>
      <c r="U17" s="168"/>
      <c r="V17" s="168"/>
      <c r="W17" s="168"/>
    </row>
    <row r="18" spans="2:28" ht="15.75" customHeight="1" x14ac:dyDescent="0.3">
      <c r="B18" s="144"/>
      <c r="C18" s="141" t="s">
        <v>40</v>
      </c>
      <c r="D18" s="145">
        <f>INPUT!F27</f>
        <v>0</v>
      </c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P18" s="168"/>
      <c r="Q18" s="168"/>
      <c r="R18" s="168"/>
      <c r="S18" s="168"/>
      <c r="T18" s="168"/>
      <c r="U18" s="171"/>
      <c r="V18" s="171"/>
      <c r="W18" s="171"/>
    </row>
    <row r="19" spans="2:28" ht="15.75" customHeight="1" x14ac:dyDescent="0.3">
      <c r="B19" s="144"/>
      <c r="C19" s="141" t="s">
        <v>41</v>
      </c>
      <c r="D19" s="145">
        <f>INPUT!F28</f>
        <v>0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U19" s="165"/>
      <c r="V19" s="165"/>
      <c r="W19" s="165"/>
    </row>
    <row r="20" spans="2:28" ht="15.75" hidden="1" customHeight="1" x14ac:dyDescent="0.3">
      <c r="B20" s="144"/>
      <c r="C20" s="141"/>
      <c r="D20" s="145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U20" s="165"/>
      <c r="V20" s="165"/>
      <c r="W20" s="165"/>
    </row>
    <row r="21" spans="2:28" ht="17.399999999999999" x14ac:dyDescent="0.3">
      <c r="B21" s="322" t="s">
        <v>79</v>
      </c>
      <c r="C21" s="146">
        <v>1</v>
      </c>
      <c r="D21" s="147">
        <f>'table b_less3.2%ppd'!$Z$25</f>
        <v>-2.1983505534246106E-2</v>
      </c>
      <c r="E21" s="147">
        <f>'table b_less3.2%ppd'!$Z$26</f>
        <v>-2.1983505534246106E-2</v>
      </c>
      <c r="F21" s="147">
        <f>'table b_less3.2%ppd'!$Z$27</f>
        <v>-2.1983505534246106E-2</v>
      </c>
      <c r="G21" s="147">
        <f>'table b_less3.2%ppd'!$Z$28</f>
        <v>-2.1983505534246106E-2</v>
      </c>
      <c r="H21" s="147">
        <f>'table b_less3.2%ppd'!$Z$29</f>
        <v>-2.1983505534246106E-2</v>
      </c>
      <c r="I21" s="147">
        <f>'table b_less3.2%ppd'!$Z$30</f>
        <v>-2.1983505534246106E-2</v>
      </c>
      <c r="J21" s="147">
        <f>'table b_less3.2%ppd'!$Z$31</f>
        <v>-2.1983505534246106E-2</v>
      </c>
      <c r="K21" s="147">
        <f>'table b_less3.2%ppd'!$Z$32</f>
        <v>-2.1983505534246106E-2</v>
      </c>
      <c r="L21" s="147">
        <f>'table b_less3.2%ppd'!$Z$33</f>
        <v>-2.1983505534246106E-2</v>
      </c>
      <c r="M21" s="147">
        <f>'table b_less3.2%ppd'!$Z$34</f>
        <v>-2.1983505534246106E-2</v>
      </c>
      <c r="N21" s="147">
        <f>'table b_less3.2%ppd'!$Z$35</f>
        <v>-2.1983505534246106E-2</v>
      </c>
      <c r="O21" s="148" t="s">
        <v>1</v>
      </c>
      <c r="P21" s="149">
        <f>'table b_less3.2%ppd'!Z37</f>
        <v>-2.198350553424611E-2</v>
      </c>
    </row>
    <row r="22" spans="2:28" ht="17.399999999999999" x14ac:dyDescent="0.3">
      <c r="B22" s="322"/>
      <c r="C22" s="146">
        <v>0.9</v>
      </c>
      <c r="D22" s="150">
        <f>D21/$C$22</f>
        <v>-2.4426117260273449E-2</v>
      </c>
      <c r="E22" s="150">
        <f t="shared" ref="E22:N22" si="0">E21/$C$22</f>
        <v>-2.4426117260273449E-2</v>
      </c>
      <c r="F22" s="150">
        <f t="shared" si="0"/>
        <v>-2.4426117260273449E-2</v>
      </c>
      <c r="G22" s="150">
        <f t="shared" si="0"/>
        <v>-2.4426117260273449E-2</v>
      </c>
      <c r="H22" s="150">
        <f t="shared" si="0"/>
        <v>-2.4426117260273449E-2</v>
      </c>
      <c r="I22" s="150">
        <f t="shared" si="0"/>
        <v>-2.4426117260273449E-2</v>
      </c>
      <c r="J22" s="150">
        <f t="shared" si="0"/>
        <v>-2.4426117260273449E-2</v>
      </c>
      <c r="K22" s="150">
        <f t="shared" si="0"/>
        <v>-2.4426117260273449E-2</v>
      </c>
      <c r="L22" s="150">
        <f t="shared" si="0"/>
        <v>-2.4426117260273449E-2</v>
      </c>
      <c r="M22" s="150">
        <f t="shared" si="0"/>
        <v>-2.4426117260273449E-2</v>
      </c>
      <c r="N22" s="150">
        <f t="shared" si="0"/>
        <v>-2.4426117260273449E-2</v>
      </c>
      <c r="O22" s="148"/>
      <c r="P22" s="151"/>
      <c r="U22" s="179" t="s">
        <v>117</v>
      </c>
      <c r="V22" s="144"/>
      <c r="W22" s="144"/>
      <c r="X22" s="144"/>
      <c r="Y22" s="144"/>
      <c r="Z22" s="144"/>
      <c r="AA22" s="144"/>
      <c r="AB22" s="144"/>
    </row>
    <row r="23" spans="2:28" ht="17.399999999999999" x14ac:dyDescent="0.3">
      <c r="B23" s="322"/>
      <c r="C23" s="146">
        <v>0.8</v>
      </c>
      <c r="D23" s="150">
        <f>D21/$C$23</f>
        <v>-2.7479381917807633E-2</v>
      </c>
      <c r="E23" s="150">
        <f t="shared" ref="E23:N23" si="1">E21/$C$23</f>
        <v>-2.7479381917807633E-2</v>
      </c>
      <c r="F23" s="150">
        <f t="shared" si="1"/>
        <v>-2.7479381917807633E-2</v>
      </c>
      <c r="G23" s="150">
        <f t="shared" si="1"/>
        <v>-2.7479381917807633E-2</v>
      </c>
      <c r="H23" s="150">
        <f t="shared" si="1"/>
        <v>-2.7479381917807633E-2</v>
      </c>
      <c r="I23" s="150">
        <f t="shared" si="1"/>
        <v>-2.7479381917807633E-2</v>
      </c>
      <c r="J23" s="150">
        <f t="shared" si="1"/>
        <v>-2.7479381917807633E-2</v>
      </c>
      <c r="K23" s="150">
        <f t="shared" si="1"/>
        <v>-2.7479381917807633E-2</v>
      </c>
      <c r="L23" s="150">
        <f t="shared" si="1"/>
        <v>-2.7479381917807633E-2</v>
      </c>
      <c r="M23" s="150">
        <f t="shared" si="1"/>
        <v>-2.7479381917807633E-2</v>
      </c>
      <c r="N23" s="150">
        <f t="shared" si="1"/>
        <v>-2.7479381917807633E-2</v>
      </c>
      <c r="O23" s="148"/>
      <c r="P23" s="151"/>
      <c r="U23" s="178" t="s">
        <v>122</v>
      </c>
      <c r="V23" s="144"/>
      <c r="W23" s="144"/>
      <c r="X23" s="144"/>
      <c r="Y23" s="144"/>
      <c r="Z23" s="144"/>
      <c r="AA23" s="144"/>
      <c r="AB23" s="144"/>
    </row>
    <row r="24" spans="2:28" ht="17.399999999999999" x14ac:dyDescent="0.3">
      <c r="B24" s="322"/>
      <c r="C24" s="146">
        <v>0.7</v>
      </c>
      <c r="D24" s="150">
        <f>D21/$C$24</f>
        <v>-3.1405007906065867E-2</v>
      </c>
      <c r="E24" s="150">
        <f t="shared" ref="E24:N24" si="2">E21/$C$24</f>
        <v>-3.1405007906065867E-2</v>
      </c>
      <c r="F24" s="150">
        <f t="shared" si="2"/>
        <v>-3.1405007906065867E-2</v>
      </c>
      <c r="G24" s="150">
        <f t="shared" si="2"/>
        <v>-3.1405007906065867E-2</v>
      </c>
      <c r="H24" s="150">
        <f t="shared" si="2"/>
        <v>-3.1405007906065867E-2</v>
      </c>
      <c r="I24" s="150">
        <f t="shared" si="2"/>
        <v>-3.1405007906065867E-2</v>
      </c>
      <c r="J24" s="150">
        <f t="shared" si="2"/>
        <v>-3.1405007906065867E-2</v>
      </c>
      <c r="K24" s="150">
        <f t="shared" si="2"/>
        <v>-3.1405007906065867E-2</v>
      </c>
      <c r="L24" s="150">
        <f t="shared" si="2"/>
        <v>-3.1405007906065867E-2</v>
      </c>
      <c r="M24" s="150">
        <f t="shared" si="2"/>
        <v>-3.1405007906065867E-2</v>
      </c>
      <c r="N24" s="150">
        <f t="shared" si="2"/>
        <v>-3.1405007906065867E-2</v>
      </c>
      <c r="O24" s="148"/>
      <c r="P24" s="151"/>
      <c r="U24" s="180" t="s">
        <v>101</v>
      </c>
      <c r="V24" s="144"/>
      <c r="W24" s="144"/>
      <c r="X24" s="144"/>
      <c r="Y24" s="144"/>
      <c r="Z24" s="144"/>
      <c r="AA24" s="144"/>
      <c r="AB24" s="144"/>
    </row>
    <row r="25" spans="2:28" x14ac:dyDescent="0.3">
      <c r="U25" s="187" t="s">
        <v>107</v>
      </c>
      <c r="V25" s="144"/>
      <c r="W25" s="144"/>
      <c r="X25" s="144"/>
      <c r="Y25" s="144"/>
      <c r="Z25" s="144"/>
      <c r="AA25" s="144"/>
      <c r="AB25" s="144"/>
    </row>
    <row r="26" spans="2:28" x14ac:dyDescent="0.3">
      <c r="U26" s="182" t="s">
        <v>102</v>
      </c>
      <c r="V26" s="144"/>
      <c r="W26" s="144"/>
      <c r="X26" s="144"/>
      <c r="Y26" s="144"/>
      <c r="Z26" s="144"/>
      <c r="AA26" s="144"/>
      <c r="AB26" s="144"/>
    </row>
    <row r="27" spans="2:28" x14ac:dyDescent="0.3">
      <c r="B27" s="154"/>
      <c r="C27" s="15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U27" s="144"/>
      <c r="V27" s="144"/>
      <c r="W27" s="144"/>
      <c r="X27" s="144"/>
      <c r="Y27" s="144"/>
      <c r="Z27" s="144"/>
      <c r="AA27" s="144"/>
      <c r="AB27" s="144"/>
    </row>
    <row r="28" spans="2:28" x14ac:dyDescent="0.3">
      <c r="B28" s="154"/>
      <c r="C28" s="323" t="s">
        <v>115</v>
      </c>
      <c r="D28" s="323"/>
      <c r="E28" s="323"/>
      <c r="F28" s="323"/>
      <c r="G28" s="323"/>
      <c r="H28" s="323"/>
      <c r="I28" s="323"/>
      <c r="J28" s="323"/>
      <c r="K28" s="323"/>
      <c r="L28" s="323"/>
      <c r="M28" s="167" t="s">
        <v>95</v>
      </c>
      <c r="N28" s="154"/>
      <c r="O28" s="154"/>
      <c r="P28" s="154"/>
      <c r="Q28" s="154"/>
      <c r="U28" s="144"/>
      <c r="V28" s="144"/>
      <c r="W28" s="144"/>
      <c r="X28" s="144"/>
      <c r="Y28" s="144"/>
      <c r="Z28" s="144"/>
      <c r="AA28" s="144"/>
      <c r="AB28" s="144"/>
    </row>
    <row r="29" spans="2:28" ht="14.25" customHeight="1" x14ac:dyDescent="0.3">
      <c r="B29" s="154"/>
      <c r="C29" s="155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U29" s="186"/>
      <c r="V29" s="186"/>
      <c r="W29" s="186"/>
      <c r="X29" s="186"/>
      <c r="Y29" s="186"/>
      <c r="Z29" s="186"/>
      <c r="AA29" s="186"/>
      <c r="AB29" s="186"/>
    </row>
    <row r="30" spans="2:28" ht="19.2" x14ac:dyDescent="0.3">
      <c r="B30" s="154"/>
      <c r="C30" s="155"/>
      <c r="D30" s="324" t="s">
        <v>118</v>
      </c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154"/>
      <c r="P30" s="154"/>
      <c r="Q30" s="154"/>
      <c r="V30" s="186"/>
      <c r="W30" s="186"/>
      <c r="X30" s="186"/>
      <c r="Y30" s="186"/>
      <c r="Z30" s="186"/>
      <c r="AA30" s="186"/>
      <c r="AB30" s="186"/>
    </row>
    <row r="31" spans="2:28" ht="15.6" x14ac:dyDescent="0.3">
      <c r="B31" s="154"/>
      <c r="C31" s="156"/>
      <c r="D31" s="157">
        <f t="shared" ref="D31:N31" si="3">D16</f>
        <v>2023</v>
      </c>
      <c r="E31" s="157">
        <f t="shared" si="3"/>
        <v>2024</v>
      </c>
      <c r="F31" s="157">
        <f t="shared" si="3"/>
        <v>2025</v>
      </c>
      <c r="G31" s="157">
        <f t="shared" si="3"/>
        <v>2026</v>
      </c>
      <c r="H31" s="157">
        <f t="shared" si="3"/>
        <v>2027</v>
      </c>
      <c r="I31" s="157">
        <f t="shared" si="3"/>
        <v>2028</v>
      </c>
      <c r="J31" s="157">
        <f t="shared" si="3"/>
        <v>2029</v>
      </c>
      <c r="K31" s="157">
        <f t="shared" si="3"/>
        <v>2030</v>
      </c>
      <c r="L31" s="157">
        <f t="shared" si="3"/>
        <v>2031</v>
      </c>
      <c r="M31" s="157">
        <f t="shared" si="3"/>
        <v>2032</v>
      </c>
      <c r="N31" s="157">
        <f t="shared" si="3"/>
        <v>2033</v>
      </c>
      <c r="O31" s="154"/>
      <c r="P31" s="154"/>
      <c r="Q31" s="154"/>
      <c r="V31" s="172"/>
      <c r="W31" s="172"/>
      <c r="X31" s="172"/>
      <c r="Y31" s="172"/>
      <c r="Z31" s="172"/>
      <c r="AA31" s="172"/>
      <c r="AB31" s="172"/>
    </row>
    <row r="32" spans="2:28" ht="16.8" customHeight="1" x14ac:dyDescent="0.3">
      <c r="B32" s="154"/>
      <c r="C32" s="156" t="s">
        <v>39</v>
      </c>
      <c r="D32" s="43"/>
      <c r="E32" s="158"/>
      <c r="F32" s="159"/>
      <c r="G32" s="159"/>
      <c r="H32" s="159"/>
      <c r="I32" s="159"/>
      <c r="J32" s="159"/>
      <c r="K32" s="159"/>
      <c r="L32" s="159"/>
      <c r="M32" s="159"/>
      <c r="N32" s="159"/>
      <c r="O32" s="154"/>
      <c r="P32" s="154"/>
      <c r="Q32" s="154"/>
    </row>
    <row r="33" spans="2:18" ht="16.8" customHeight="1" x14ac:dyDescent="0.3">
      <c r="B33" s="154"/>
      <c r="C33" s="156" t="s">
        <v>40</v>
      </c>
      <c r="D33" s="43"/>
      <c r="E33" s="223"/>
      <c r="F33" s="159"/>
      <c r="G33" s="159"/>
      <c r="H33" s="159"/>
      <c r="I33" s="159"/>
      <c r="J33" s="159"/>
      <c r="K33" s="159"/>
      <c r="L33" s="159"/>
      <c r="M33" s="159"/>
      <c r="N33" s="159"/>
      <c r="O33" s="154"/>
      <c r="P33" s="154"/>
      <c r="Q33" s="154"/>
    </row>
    <row r="34" spans="2:18" ht="16.8" customHeight="1" x14ac:dyDescent="0.3">
      <c r="B34" s="154"/>
      <c r="C34" s="156" t="s">
        <v>41</v>
      </c>
      <c r="D34" s="43"/>
      <c r="E34" s="223"/>
      <c r="F34" s="159"/>
      <c r="G34" s="159"/>
      <c r="H34" s="159"/>
      <c r="I34" s="159"/>
      <c r="J34" s="159"/>
      <c r="K34" s="159"/>
      <c r="L34" s="159"/>
      <c r="M34" s="159"/>
      <c r="N34" s="159"/>
      <c r="O34" s="154"/>
      <c r="P34" s="154"/>
      <c r="Q34" s="154"/>
    </row>
    <row r="35" spans="2:18" ht="14.25" hidden="1" customHeight="1" x14ac:dyDescent="0.3">
      <c r="B35" s="154"/>
      <c r="C35" s="156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4"/>
      <c r="P35" s="154"/>
      <c r="Q35" s="154"/>
    </row>
    <row r="36" spans="2:18" ht="18.75" customHeight="1" x14ac:dyDescent="0.3">
      <c r="B36" s="322" t="s">
        <v>79</v>
      </c>
      <c r="C36" s="195">
        <v>1</v>
      </c>
      <c r="D36" s="238">
        <f>SUM(D32:D34)</f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60" t="s">
        <v>1</v>
      </c>
      <c r="P36" s="161">
        <f>SUMPRODUCT(D36:N36,D41:N41)/SUM(D41:N41)</f>
        <v>0</v>
      </c>
      <c r="Q36" s="162" t="str">
        <f>IF(P36=P21,"correct","W")</f>
        <v>W</v>
      </c>
    </row>
    <row r="37" spans="2:18" ht="16.8" customHeight="1" x14ac:dyDescent="0.3">
      <c r="B37" s="322"/>
      <c r="C37" s="195">
        <v>0.9</v>
      </c>
      <c r="D37" s="150">
        <f>D36/$C$37</f>
        <v>0</v>
      </c>
      <c r="E37" s="150">
        <f t="shared" ref="E37:N37" si="4">E36/$C$37</f>
        <v>0</v>
      </c>
      <c r="F37" s="150">
        <f t="shared" si="4"/>
        <v>0</v>
      </c>
      <c r="G37" s="150">
        <f t="shared" si="4"/>
        <v>0</v>
      </c>
      <c r="H37" s="150">
        <f t="shared" si="4"/>
        <v>0</v>
      </c>
      <c r="I37" s="150">
        <f t="shared" si="4"/>
        <v>0</v>
      </c>
      <c r="J37" s="150">
        <f t="shared" si="4"/>
        <v>0</v>
      </c>
      <c r="K37" s="150">
        <f t="shared" si="4"/>
        <v>0</v>
      </c>
      <c r="L37" s="150">
        <f t="shared" si="4"/>
        <v>0</v>
      </c>
      <c r="M37" s="150">
        <f t="shared" si="4"/>
        <v>0</v>
      </c>
      <c r="N37" s="150">
        <f t="shared" si="4"/>
        <v>0</v>
      </c>
      <c r="O37" s="160"/>
      <c r="P37" s="163"/>
      <c r="Q37" s="162"/>
    </row>
    <row r="38" spans="2:18" ht="16.8" customHeight="1" x14ac:dyDescent="0.3">
      <c r="B38" s="322"/>
      <c r="C38" s="195">
        <v>0.8</v>
      </c>
      <c r="D38" s="150">
        <f>D36/$C$38</f>
        <v>0</v>
      </c>
      <c r="E38" s="150">
        <f t="shared" ref="E38:N38" si="5">E36/$C$38</f>
        <v>0</v>
      </c>
      <c r="F38" s="150">
        <f t="shared" si="5"/>
        <v>0</v>
      </c>
      <c r="G38" s="150">
        <f t="shared" si="5"/>
        <v>0</v>
      </c>
      <c r="H38" s="150">
        <f t="shared" si="5"/>
        <v>0</v>
      </c>
      <c r="I38" s="150">
        <f t="shared" si="5"/>
        <v>0</v>
      </c>
      <c r="J38" s="150">
        <f t="shared" si="5"/>
        <v>0</v>
      </c>
      <c r="K38" s="150">
        <f t="shared" si="5"/>
        <v>0</v>
      </c>
      <c r="L38" s="150">
        <f t="shared" si="5"/>
        <v>0</v>
      </c>
      <c r="M38" s="150">
        <f t="shared" si="5"/>
        <v>0</v>
      </c>
      <c r="N38" s="150">
        <f t="shared" si="5"/>
        <v>0</v>
      </c>
      <c r="O38" s="160"/>
      <c r="P38" s="163"/>
      <c r="Q38" s="162"/>
    </row>
    <row r="39" spans="2:18" ht="16.8" customHeight="1" x14ac:dyDescent="0.3">
      <c r="B39" s="322"/>
      <c r="C39" s="195">
        <v>0.7</v>
      </c>
      <c r="D39" s="150">
        <f>D36/$C$39</f>
        <v>0</v>
      </c>
      <c r="E39" s="150">
        <f t="shared" ref="E39:N39" si="6">E36/$C$39</f>
        <v>0</v>
      </c>
      <c r="F39" s="150">
        <f>F36/$C$39</f>
        <v>0</v>
      </c>
      <c r="G39" s="150">
        <f t="shared" si="6"/>
        <v>0</v>
      </c>
      <c r="H39" s="150">
        <f t="shared" si="6"/>
        <v>0</v>
      </c>
      <c r="I39" s="150">
        <f t="shared" si="6"/>
        <v>0</v>
      </c>
      <c r="J39" s="150">
        <f t="shared" si="6"/>
        <v>0</v>
      </c>
      <c r="K39" s="150">
        <f t="shared" si="6"/>
        <v>0</v>
      </c>
      <c r="L39" s="150">
        <f t="shared" si="6"/>
        <v>0</v>
      </c>
      <c r="M39" s="150">
        <f t="shared" si="6"/>
        <v>0</v>
      </c>
      <c r="N39" s="150">
        <f t="shared" si="6"/>
        <v>0</v>
      </c>
      <c r="O39" s="160"/>
      <c r="P39" s="163"/>
      <c r="Q39" s="162"/>
    </row>
    <row r="41" spans="2:18" x14ac:dyDescent="0.3">
      <c r="D41" s="219">
        <v>26280</v>
      </c>
      <c r="E41" s="219">
        <v>87600</v>
      </c>
      <c r="F41" s="219">
        <v>96360</v>
      </c>
      <c r="G41" s="219">
        <v>105120</v>
      </c>
      <c r="H41" s="219">
        <v>131400</v>
      </c>
      <c r="I41" s="219">
        <v>140160</v>
      </c>
      <c r="J41" s="219">
        <v>148920</v>
      </c>
      <c r="K41" s="219">
        <v>148920</v>
      </c>
      <c r="L41" s="219">
        <v>148920</v>
      </c>
      <c r="M41" s="219">
        <v>157680</v>
      </c>
      <c r="N41" s="220">
        <v>8760</v>
      </c>
    </row>
    <row r="42" spans="2:18" x14ac:dyDescent="0.3">
      <c r="D42" s="313" t="s">
        <v>116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</row>
    <row r="43" spans="2:18" x14ac:dyDescent="0.3"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</row>
    <row r="45" spans="2:18" x14ac:dyDescent="0.3">
      <c r="D45" s="164"/>
      <c r="E45" s="190" t="str">
        <f>CONCATENATE(IF(INPUT!$E$35&lt;0,"",CONCATENATE("1."," ",INPUT!$E$35*100))," ","percent (",INPUT!$E$35*100,"%) of the Capacity Fee")</f>
        <v>1. 0 percent (0%) of the Capacity Fee</v>
      </c>
      <c r="Q45" s="233"/>
      <c r="R45" s="233"/>
    </row>
    <row r="46" spans="2:18" x14ac:dyDescent="0.3">
      <c r="E46" s="190" t="str">
        <f>CONCATENATE(IF(INPUT!$E$37&lt;0,"",CONCATENATE("2."," ","Additional"," ",INPUT!$E$37*100))," ","percent (",INPUT!$E$37*100,"%) of Prompt Payment Discount (PPD)")</f>
        <v>2. Additional 0 percent (0%) of Prompt Payment Discount (PPD)</v>
      </c>
      <c r="Q46" s="233"/>
    </row>
    <row r="47" spans="2:18" x14ac:dyDescent="0.3">
      <c r="E47" s="190" t="str">
        <f>CONCATENATE(IF(INPUT!$E$38&lt;0,"",CONCATENATE("3."," ",INPUT!$E$38))," ","Peso per kWh (",INPUT!$E$38,"Php/kWh) of the Collection Efficiency (CE)")</f>
        <v>3.  Peso per kWh (Php/kWh) of the Collection Efficiency (CE)</v>
      </c>
    </row>
    <row r="49" spans="3:18" x14ac:dyDescent="0.3">
      <c r="D49" s="315" t="s">
        <v>104</v>
      </c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</row>
    <row r="50" spans="3:18" ht="15" customHeight="1" x14ac:dyDescent="0.3"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</row>
    <row r="51" spans="3:18" ht="22.2" customHeight="1" x14ac:dyDescent="0.3">
      <c r="E51" s="311" t="s">
        <v>127</v>
      </c>
      <c r="F51" s="312"/>
      <c r="G51" s="312"/>
      <c r="H51" s="312"/>
      <c r="I51" s="312"/>
      <c r="J51" s="312"/>
      <c r="K51" s="312"/>
      <c r="L51" s="312"/>
      <c r="M51" s="312"/>
      <c r="N51" s="248"/>
    </row>
    <row r="52" spans="3:18" x14ac:dyDescent="0.3">
      <c r="E52" s="311" t="s">
        <v>99</v>
      </c>
      <c r="F52" s="312"/>
      <c r="G52" s="312"/>
      <c r="H52" s="312"/>
      <c r="I52" s="312"/>
      <c r="J52" s="312"/>
      <c r="K52" s="312"/>
      <c r="L52" s="312"/>
      <c r="M52" s="312"/>
      <c r="N52" s="248"/>
    </row>
    <row r="56" spans="3:18" x14ac:dyDescent="0.3">
      <c r="D56" s="139" t="s">
        <v>97</v>
      </c>
      <c r="L56" s="139" t="s">
        <v>100</v>
      </c>
    </row>
    <row r="59" spans="3:18" s="148" customFormat="1" x14ac:dyDescent="0.3">
      <c r="C59" s="166"/>
      <c r="D59" s="148" t="s">
        <v>126</v>
      </c>
      <c r="L59" s="148" t="s">
        <v>126</v>
      </c>
    </row>
    <row r="60" spans="3:18" x14ac:dyDescent="0.3">
      <c r="D60" s="139" t="s">
        <v>98</v>
      </c>
      <c r="L60" s="190" t="s">
        <v>125</v>
      </c>
    </row>
    <row r="61" spans="3:18" x14ac:dyDescent="0.3">
      <c r="R61" s="170"/>
    </row>
  </sheetData>
  <sheetProtection algorithmName="SHA-512" hashValue="Anp6AENIvNJEfpYJcLNKM8OcgNLObH2Pzwvbt63GhAAoaHddhgj9IAq2ZvRh0fI41FL9jFjLqbmM4QyYFdAVZA==" saltValue="glJKUyQNwqHvXshkU+UGog==" spinCount="100000" sheet="1" objects="1" scenarios="1"/>
  <mergeCells count="12">
    <mergeCell ref="E51:M51"/>
    <mergeCell ref="E52:M52"/>
    <mergeCell ref="C28:L28"/>
    <mergeCell ref="D30:N30"/>
    <mergeCell ref="B36:B39"/>
    <mergeCell ref="D42:Q43"/>
    <mergeCell ref="D49:Q50"/>
    <mergeCell ref="B7:S7"/>
    <mergeCell ref="D15:N15"/>
    <mergeCell ref="P15:S16"/>
    <mergeCell ref="E17:N20"/>
    <mergeCell ref="B21:B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zoomScale="70" zoomScaleNormal="70" workbookViewId="0">
      <selection activeCell="U25" sqref="U25"/>
    </sheetView>
  </sheetViews>
  <sheetFormatPr defaultColWidth="9.109375" defaultRowHeight="13.8" x14ac:dyDescent="0.3"/>
  <cols>
    <col min="1" max="1" width="2" style="137" customWidth="1"/>
    <col min="2" max="2" width="5.33203125" style="137" bestFit="1" customWidth="1"/>
    <col min="3" max="3" width="6.5546875" style="138" bestFit="1" customWidth="1"/>
    <col min="4" max="14" width="11.44140625" style="137" customWidth="1"/>
    <col min="15" max="15" width="7" style="137" customWidth="1"/>
    <col min="16" max="16" width="12.6640625" style="137" bestFit="1" customWidth="1"/>
    <col min="17" max="17" width="1.88671875" style="137" customWidth="1"/>
    <col min="18" max="16384" width="9.109375" style="137"/>
  </cols>
  <sheetData>
    <row r="3" spans="2:17" ht="22.8" x14ac:dyDescent="0.3">
      <c r="B3" s="325" t="s">
        <v>124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5" spans="2:17" hidden="1" x14ac:dyDescent="0.3">
      <c r="Q5" s="139" t="s">
        <v>103</v>
      </c>
    </row>
    <row r="6" spans="2:17" hidden="1" x14ac:dyDescent="0.3">
      <c r="Q6" s="139"/>
    </row>
    <row r="7" spans="2:17" x14ac:dyDescent="0.3">
      <c r="Q7" s="139"/>
    </row>
    <row r="8" spans="2:17" ht="22.8" x14ac:dyDescent="0.3">
      <c r="B8" s="314" t="s">
        <v>94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176"/>
    </row>
    <row r="12" spans="2:17" ht="19.2" x14ac:dyDescent="0.3">
      <c r="D12" s="317" t="s">
        <v>130</v>
      </c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P12" s="326"/>
      <c r="Q12" s="326"/>
    </row>
    <row r="13" spans="2:17" s="143" customFormat="1" x14ac:dyDescent="0.3">
      <c r="B13" s="140"/>
      <c r="C13" s="141"/>
      <c r="D13" s="142">
        <v>2023</v>
      </c>
      <c r="E13" s="142">
        <v>2024</v>
      </c>
      <c r="F13" s="142">
        <v>2025</v>
      </c>
      <c r="G13" s="142">
        <v>2026</v>
      </c>
      <c r="H13" s="142">
        <v>2027</v>
      </c>
      <c r="I13" s="142">
        <v>2028</v>
      </c>
      <c r="J13" s="142">
        <v>2029</v>
      </c>
      <c r="K13" s="142">
        <v>2030</v>
      </c>
      <c r="L13" s="142">
        <v>2031</v>
      </c>
      <c r="M13" s="142">
        <v>2032</v>
      </c>
      <c r="N13" s="142">
        <v>2033</v>
      </c>
      <c r="P13" s="168"/>
      <c r="Q13" s="168"/>
    </row>
    <row r="14" spans="2:17" ht="15.75" customHeight="1" x14ac:dyDescent="0.3">
      <c r="B14" s="144"/>
      <c r="C14" s="141" t="s">
        <v>39</v>
      </c>
      <c r="D14" s="145">
        <f>OUTPUT_B!D28</f>
        <v>0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P14" s="168"/>
      <c r="Q14" s="168"/>
    </row>
    <row r="15" spans="2:17" ht="15.75" customHeight="1" x14ac:dyDescent="0.3">
      <c r="B15" s="144"/>
      <c r="C15" s="141" t="s">
        <v>40</v>
      </c>
      <c r="D15" s="145">
        <f>OUTPUT_B!D29</f>
        <v>0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P15" s="168"/>
      <c r="Q15" s="168"/>
    </row>
    <row r="16" spans="2:17" ht="15.75" customHeight="1" x14ac:dyDescent="0.3">
      <c r="B16" s="144"/>
      <c r="C16" s="141" t="s">
        <v>41</v>
      </c>
      <c r="D16" s="145">
        <f>OUTPUT_B!D30</f>
        <v>0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spans="2:17" ht="17.399999999999999" x14ac:dyDescent="0.3">
      <c r="B17" s="322" t="s">
        <v>79</v>
      </c>
      <c r="C17" s="146">
        <v>1</v>
      </c>
      <c r="D17" s="147">
        <f>OUTPUT_B!D32</f>
        <v>0.68698454794520558</v>
      </c>
      <c r="E17" s="147" t="e">
        <f>OUTPUT_B!E32</f>
        <v>#N/A</v>
      </c>
      <c r="F17" s="147" t="e">
        <f>OUTPUT_B!F32</f>
        <v>#N/A</v>
      </c>
      <c r="G17" s="147" t="e">
        <f>OUTPUT_B!G32</f>
        <v>#N/A</v>
      </c>
      <c r="H17" s="147" t="e">
        <f>OUTPUT_B!H32</f>
        <v>#N/A</v>
      </c>
      <c r="I17" s="147" t="e">
        <f>OUTPUT_B!I32</f>
        <v>#N/A</v>
      </c>
      <c r="J17" s="147" t="e">
        <f>OUTPUT_B!J32</f>
        <v>#N/A</v>
      </c>
      <c r="K17" s="147" t="e">
        <f>OUTPUT_B!K32</f>
        <v>#N/A</v>
      </c>
      <c r="L17" s="147" t="e">
        <f>OUTPUT_B!L32</f>
        <v>#N/A</v>
      </c>
      <c r="M17" s="147" t="e">
        <f>OUTPUT_B!M32</f>
        <v>#N/A</v>
      </c>
      <c r="N17" s="147" t="e">
        <f>OUTPUT_B!N32</f>
        <v>#N/A</v>
      </c>
      <c r="O17" s="148" t="s">
        <v>1</v>
      </c>
      <c r="P17" s="173" t="e">
        <f>OUTPUT_B!P32</f>
        <v>#N/A</v>
      </c>
    </row>
    <row r="18" spans="2:17" ht="17.399999999999999" x14ac:dyDescent="0.3">
      <c r="B18" s="322"/>
      <c r="C18" s="146">
        <v>0.9</v>
      </c>
      <c r="D18" s="150">
        <f>OUTPUT_B!D33</f>
        <v>0.76331616438356176</v>
      </c>
      <c r="E18" s="150" t="e">
        <f>OUTPUT_B!E33</f>
        <v>#N/A</v>
      </c>
      <c r="F18" s="150" t="e">
        <f>OUTPUT_B!F33</f>
        <v>#N/A</v>
      </c>
      <c r="G18" s="150" t="e">
        <f>OUTPUT_B!G33</f>
        <v>#N/A</v>
      </c>
      <c r="H18" s="150" t="e">
        <f>OUTPUT_B!H33</f>
        <v>#N/A</v>
      </c>
      <c r="I18" s="150" t="e">
        <f>OUTPUT_B!I33</f>
        <v>#N/A</v>
      </c>
      <c r="J18" s="150" t="e">
        <f>OUTPUT_B!J33</f>
        <v>#N/A</v>
      </c>
      <c r="K18" s="150" t="e">
        <f>OUTPUT_B!K33</f>
        <v>#N/A</v>
      </c>
      <c r="L18" s="150" t="e">
        <f>OUTPUT_B!L33</f>
        <v>#N/A</v>
      </c>
      <c r="M18" s="150" t="e">
        <f>OUTPUT_B!M33</f>
        <v>#N/A</v>
      </c>
      <c r="N18" s="150" t="e">
        <f>OUTPUT_B!N33</f>
        <v>#N/A</v>
      </c>
      <c r="O18" s="148"/>
      <c r="P18" s="151"/>
    </row>
    <row r="19" spans="2:17" ht="17.399999999999999" x14ac:dyDescent="0.3">
      <c r="B19" s="322"/>
      <c r="C19" s="146">
        <v>0.8</v>
      </c>
      <c r="D19" s="150">
        <f>OUTPUT_B!D34</f>
        <v>0.85873068493150695</v>
      </c>
      <c r="E19" s="150" t="e">
        <f>OUTPUT_B!E34</f>
        <v>#N/A</v>
      </c>
      <c r="F19" s="150" t="e">
        <f>OUTPUT_B!F34</f>
        <v>#N/A</v>
      </c>
      <c r="G19" s="150" t="e">
        <f>OUTPUT_B!G34</f>
        <v>#N/A</v>
      </c>
      <c r="H19" s="150" t="e">
        <f>OUTPUT_B!H34</f>
        <v>#N/A</v>
      </c>
      <c r="I19" s="150" t="e">
        <f>OUTPUT_B!I34</f>
        <v>#N/A</v>
      </c>
      <c r="J19" s="150" t="e">
        <f>OUTPUT_B!J34</f>
        <v>#N/A</v>
      </c>
      <c r="K19" s="150" t="e">
        <f>OUTPUT_B!K34</f>
        <v>#N/A</v>
      </c>
      <c r="L19" s="150" t="e">
        <f>OUTPUT_B!L34</f>
        <v>#N/A</v>
      </c>
      <c r="M19" s="150" t="e">
        <f>OUTPUT_B!M34</f>
        <v>#N/A</v>
      </c>
      <c r="N19" s="150" t="e">
        <f>OUTPUT_B!N34</f>
        <v>#N/A</v>
      </c>
      <c r="O19" s="148"/>
      <c r="P19" s="151"/>
    </row>
    <row r="20" spans="2:17" ht="17.399999999999999" x14ac:dyDescent="0.3">
      <c r="B20" s="322"/>
      <c r="C20" s="146">
        <v>0.7</v>
      </c>
      <c r="D20" s="150">
        <f>OUTPUT_B!D35</f>
        <v>0.9814064970645795</v>
      </c>
      <c r="E20" s="150" t="e">
        <f>OUTPUT_B!E35</f>
        <v>#N/A</v>
      </c>
      <c r="F20" s="150" t="e">
        <f>OUTPUT_B!F35</f>
        <v>#N/A</v>
      </c>
      <c r="G20" s="150" t="e">
        <f>OUTPUT_B!G35</f>
        <v>#N/A</v>
      </c>
      <c r="H20" s="150" t="e">
        <f>OUTPUT_B!H35</f>
        <v>#N/A</v>
      </c>
      <c r="I20" s="150" t="e">
        <f>OUTPUT_B!I35</f>
        <v>#N/A</v>
      </c>
      <c r="J20" s="150" t="e">
        <f>OUTPUT_B!J35</f>
        <v>#N/A</v>
      </c>
      <c r="K20" s="150" t="e">
        <f>OUTPUT_B!K35</f>
        <v>#N/A</v>
      </c>
      <c r="L20" s="150" t="e">
        <f>OUTPUT_B!L35</f>
        <v>#N/A</v>
      </c>
      <c r="M20" s="150" t="e">
        <f>OUTPUT_B!M35</f>
        <v>#N/A</v>
      </c>
      <c r="N20" s="150" t="e">
        <f>OUTPUT_B!N35</f>
        <v>#N/A</v>
      </c>
      <c r="O20" s="148"/>
      <c r="P20" s="151"/>
    </row>
    <row r="22" spans="2:17" ht="14.25" customHeight="1" x14ac:dyDescent="0.3">
      <c r="D22" s="313" t="s">
        <v>120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74"/>
      <c r="P22" s="174"/>
      <c r="Q22" s="174"/>
    </row>
    <row r="23" spans="2:17" x14ac:dyDescent="0.3"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174"/>
      <c r="P23" s="174"/>
      <c r="Q23" s="174"/>
    </row>
    <row r="25" spans="2:17" x14ac:dyDescent="0.3">
      <c r="D25" s="239"/>
      <c r="E25" s="178" t="str">
        <f>OUTPUT_B!E40</f>
        <v>1. 0 percent (0%) of the Capacity Fee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2:17" x14ac:dyDescent="0.3">
      <c r="D26" s="144"/>
      <c r="E26" s="178" t="str">
        <f>OUTPUT_B!E41</f>
        <v>2. Additional 0 percent (0%) of Prompt Payment Discount (PPD)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2:17" x14ac:dyDescent="0.3">
      <c r="D27" s="144"/>
      <c r="E27" s="178" t="str">
        <f>OUTPUT_B!E42</f>
        <v>3.  Peso per kWh (Php/kWh) of the Collection Efficiency (CE)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9" spans="2:17" ht="14.25" customHeight="1" x14ac:dyDescent="0.3">
      <c r="D29" s="315" t="s">
        <v>104</v>
      </c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75"/>
      <c r="P29" s="175"/>
      <c r="Q29" s="175"/>
    </row>
    <row r="30" spans="2:17" x14ac:dyDescent="0.3"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175"/>
      <c r="P30" s="175"/>
      <c r="Q30" s="175"/>
    </row>
    <row r="31" spans="2:17" x14ac:dyDescent="0.3"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175"/>
      <c r="P31" s="175"/>
      <c r="Q31" s="175"/>
    </row>
    <row r="32" spans="2:17" x14ac:dyDescent="0.3">
      <c r="E32" s="311" t="s">
        <v>127</v>
      </c>
      <c r="F32" s="312"/>
      <c r="G32" s="312"/>
      <c r="H32" s="312"/>
      <c r="I32" s="312"/>
      <c r="J32" s="312"/>
      <c r="K32" s="312"/>
      <c r="L32" s="312"/>
      <c r="M32" s="312"/>
      <c r="N32" s="248"/>
    </row>
    <row r="33" spans="3:16" x14ac:dyDescent="0.3">
      <c r="E33" s="312" t="s">
        <v>99</v>
      </c>
      <c r="F33" s="312"/>
      <c r="G33" s="312"/>
      <c r="H33" s="312"/>
      <c r="I33" s="312"/>
      <c r="J33" s="312"/>
      <c r="K33" s="312"/>
      <c r="L33" s="312"/>
      <c r="M33" s="312"/>
      <c r="N33" s="248"/>
    </row>
    <row r="37" spans="3:16" x14ac:dyDescent="0.3">
      <c r="D37" s="184" t="s">
        <v>97</v>
      </c>
      <c r="E37" s="184"/>
      <c r="F37" s="184"/>
      <c r="G37" s="184"/>
      <c r="H37" s="184"/>
      <c r="I37" s="184"/>
      <c r="J37" s="184"/>
      <c r="K37" s="184"/>
      <c r="L37" s="184" t="s">
        <v>100</v>
      </c>
      <c r="M37" s="184"/>
      <c r="N37" s="184"/>
      <c r="O37" s="144"/>
      <c r="P37" s="144"/>
    </row>
    <row r="38" spans="3:16" x14ac:dyDescent="0.3"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44"/>
      <c r="P38" s="144"/>
    </row>
    <row r="39" spans="3:16" x14ac:dyDescent="0.3"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44"/>
      <c r="P39" s="144"/>
    </row>
    <row r="40" spans="3:16" s="148" customFormat="1" x14ac:dyDescent="0.3">
      <c r="C40" s="166"/>
      <c r="D40" s="184" t="s">
        <v>126</v>
      </c>
      <c r="E40" s="184"/>
      <c r="F40" s="184"/>
      <c r="G40" s="184"/>
      <c r="H40" s="184"/>
      <c r="I40" s="184"/>
      <c r="J40" s="184"/>
      <c r="K40" s="184"/>
      <c r="L40" s="184" t="s">
        <v>126</v>
      </c>
      <c r="M40" s="184"/>
      <c r="N40" s="183"/>
      <c r="O40" s="177"/>
      <c r="P40" s="177"/>
    </row>
    <row r="41" spans="3:16" x14ac:dyDescent="0.3">
      <c r="D41" s="184" t="s">
        <v>98</v>
      </c>
      <c r="E41" s="184"/>
      <c r="F41" s="184"/>
      <c r="G41" s="184"/>
      <c r="H41" s="184"/>
      <c r="I41" s="184"/>
      <c r="J41" s="184"/>
      <c r="K41" s="184"/>
      <c r="L41" s="184" t="s">
        <v>125</v>
      </c>
      <c r="M41" s="184"/>
      <c r="N41" s="184"/>
      <c r="O41" s="144"/>
      <c r="P41" s="144"/>
    </row>
  </sheetData>
  <sheetProtection algorithmName="SHA-512" hashValue="YZIQJRuC4hEI5rylzjS9iPAfdag9uWNSNynj2Ig26r1PC6N0RobNUqxdp6InUo3ywvyNrDmC07XACSa6ED/TWw==" saltValue="j+yPEIEta8pq4XPhqwTyvw==" spinCount="100000" sheet="1" objects="1" scenarios="1"/>
  <mergeCells count="10">
    <mergeCell ref="B3:P3"/>
    <mergeCell ref="E32:M32"/>
    <mergeCell ref="E33:M33"/>
    <mergeCell ref="D22:N23"/>
    <mergeCell ref="D29:N30"/>
    <mergeCell ref="B8:P8"/>
    <mergeCell ref="P12:Q12"/>
    <mergeCell ref="D12:N12"/>
    <mergeCell ref="E14:N16"/>
    <mergeCell ref="B17:B20"/>
  </mergeCells>
  <printOptions horizontalCentered="1" verticalCentered="1"/>
  <pageMargins left="0.45" right="0.2" top="0.5" bottom="0.5" header="0.3" footer="0.3"/>
  <pageSetup scale="80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zoomScale="70" zoomScaleNormal="70" workbookViewId="0">
      <selection activeCell="P40" sqref="P40"/>
    </sheetView>
  </sheetViews>
  <sheetFormatPr defaultColWidth="9.109375" defaultRowHeight="13.8" x14ac:dyDescent="0.3"/>
  <cols>
    <col min="1" max="1" width="2" style="137" customWidth="1"/>
    <col min="2" max="2" width="5.33203125" style="137" bestFit="1" customWidth="1"/>
    <col min="3" max="3" width="6.5546875" style="138" bestFit="1" customWidth="1"/>
    <col min="4" max="14" width="11.44140625" style="137" customWidth="1"/>
    <col min="15" max="15" width="7" style="137" customWidth="1"/>
    <col min="16" max="16" width="12.6640625" style="137" bestFit="1" customWidth="1"/>
    <col min="17" max="17" width="2.5546875" style="137" customWidth="1"/>
    <col min="18" max="16384" width="9.109375" style="137"/>
  </cols>
  <sheetData>
    <row r="3" spans="2:17" ht="22.8" x14ac:dyDescent="0.3">
      <c r="B3" s="325" t="s">
        <v>124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5" spans="2:17" hidden="1" x14ac:dyDescent="0.3">
      <c r="Q5" s="139" t="s">
        <v>103</v>
      </c>
    </row>
    <row r="6" spans="2:17" hidden="1" x14ac:dyDescent="0.3">
      <c r="Q6" s="139"/>
    </row>
    <row r="7" spans="2:17" x14ac:dyDescent="0.3">
      <c r="Q7" s="139"/>
    </row>
    <row r="8" spans="2:17" ht="22.8" x14ac:dyDescent="0.3">
      <c r="B8" s="314" t="s">
        <v>94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176"/>
    </row>
    <row r="12" spans="2:17" ht="19.2" x14ac:dyDescent="0.3">
      <c r="D12" s="327" t="s">
        <v>119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29"/>
      <c r="P12" s="326"/>
      <c r="Q12" s="326"/>
    </row>
    <row r="13" spans="2:17" s="143" customFormat="1" x14ac:dyDescent="0.3">
      <c r="B13" s="140"/>
      <c r="C13" s="141"/>
      <c r="D13" s="142">
        <v>2023</v>
      </c>
      <c r="E13" s="142">
        <v>2024</v>
      </c>
      <c r="F13" s="142">
        <v>2025</v>
      </c>
      <c r="G13" s="142">
        <v>2026</v>
      </c>
      <c r="H13" s="142">
        <v>2027</v>
      </c>
      <c r="I13" s="142">
        <v>2028</v>
      </c>
      <c r="J13" s="142">
        <v>2029</v>
      </c>
      <c r="K13" s="142">
        <v>2030</v>
      </c>
      <c r="L13" s="142">
        <v>2031</v>
      </c>
      <c r="M13" s="142">
        <v>2032</v>
      </c>
      <c r="N13" s="142">
        <v>2033</v>
      </c>
      <c r="P13" s="168"/>
      <c r="Q13" s="168"/>
    </row>
    <row r="14" spans="2:17" ht="15.75" customHeight="1" x14ac:dyDescent="0.3">
      <c r="B14" s="144"/>
      <c r="C14" s="141" t="s">
        <v>39</v>
      </c>
      <c r="D14" s="145">
        <f>OUTPUT_C!D32</f>
        <v>0</v>
      </c>
      <c r="E14" s="330"/>
      <c r="F14" s="331"/>
      <c r="G14" s="331"/>
      <c r="H14" s="331"/>
      <c r="I14" s="331"/>
      <c r="J14" s="331"/>
      <c r="K14" s="331"/>
      <c r="L14" s="331"/>
      <c r="M14" s="331"/>
      <c r="N14" s="332"/>
      <c r="P14" s="168"/>
      <c r="Q14" s="168"/>
    </row>
    <row r="15" spans="2:17" ht="15.75" customHeight="1" x14ac:dyDescent="0.3">
      <c r="B15" s="144"/>
      <c r="C15" s="141" t="s">
        <v>40</v>
      </c>
      <c r="D15" s="145">
        <f>OUTPUT_C!D33</f>
        <v>0</v>
      </c>
      <c r="E15" s="333"/>
      <c r="F15" s="334"/>
      <c r="G15" s="334"/>
      <c r="H15" s="334"/>
      <c r="I15" s="334"/>
      <c r="J15" s="334"/>
      <c r="K15" s="334"/>
      <c r="L15" s="334"/>
      <c r="M15" s="334"/>
      <c r="N15" s="335"/>
      <c r="P15" s="168"/>
      <c r="Q15" s="168"/>
    </row>
    <row r="16" spans="2:17" ht="15.75" customHeight="1" x14ac:dyDescent="0.3">
      <c r="B16" s="144"/>
      <c r="C16" s="141" t="s">
        <v>41</v>
      </c>
      <c r="D16" s="145">
        <f>OUTPUT_C!D34</f>
        <v>0</v>
      </c>
      <c r="E16" s="333"/>
      <c r="F16" s="334"/>
      <c r="G16" s="334"/>
      <c r="H16" s="334"/>
      <c r="I16" s="334"/>
      <c r="J16" s="334"/>
      <c r="K16" s="334"/>
      <c r="L16" s="334"/>
      <c r="M16" s="334"/>
      <c r="N16" s="335"/>
    </row>
    <row r="17" spans="2:17" ht="17.399999999999999" x14ac:dyDescent="0.3">
      <c r="B17" s="322" t="s">
        <v>79</v>
      </c>
      <c r="C17" s="146">
        <v>1</v>
      </c>
      <c r="D17" s="147">
        <f>OUTPUT_C!D36</f>
        <v>0</v>
      </c>
      <c r="E17" s="147">
        <f>OUTPUT_C!E36</f>
        <v>0</v>
      </c>
      <c r="F17" s="147">
        <f>OUTPUT_C!F36</f>
        <v>0</v>
      </c>
      <c r="G17" s="147">
        <f>OUTPUT_C!G36</f>
        <v>0</v>
      </c>
      <c r="H17" s="147">
        <f>OUTPUT_C!H36</f>
        <v>0</v>
      </c>
      <c r="I17" s="147">
        <f>OUTPUT_C!I36</f>
        <v>0</v>
      </c>
      <c r="J17" s="147">
        <f>OUTPUT_C!J36</f>
        <v>0</v>
      </c>
      <c r="K17" s="147">
        <f>OUTPUT_C!K36</f>
        <v>0</v>
      </c>
      <c r="L17" s="147">
        <f>OUTPUT_C!L36</f>
        <v>0</v>
      </c>
      <c r="M17" s="147">
        <f>OUTPUT_C!M36</f>
        <v>0</v>
      </c>
      <c r="N17" s="147">
        <f>OUTPUT_C!N36</f>
        <v>0</v>
      </c>
      <c r="O17" s="148" t="s">
        <v>1</v>
      </c>
      <c r="P17" s="173">
        <f>OUTPUT_C!P36</f>
        <v>0</v>
      </c>
    </row>
    <row r="18" spans="2:17" ht="17.399999999999999" x14ac:dyDescent="0.3">
      <c r="B18" s="322"/>
      <c r="C18" s="146">
        <v>0.9</v>
      </c>
      <c r="D18" s="150">
        <f>OUTPUT_C!D37</f>
        <v>0</v>
      </c>
      <c r="E18" s="150">
        <f>OUTPUT_C!E37</f>
        <v>0</v>
      </c>
      <c r="F18" s="150">
        <f>OUTPUT_C!F37</f>
        <v>0</v>
      </c>
      <c r="G18" s="150">
        <f>OUTPUT_C!G37</f>
        <v>0</v>
      </c>
      <c r="H18" s="150">
        <f>OUTPUT_C!H37</f>
        <v>0</v>
      </c>
      <c r="I18" s="150">
        <f>OUTPUT_C!I37</f>
        <v>0</v>
      </c>
      <c r="J18" s="150">
        <f>OUTPUT_C!J37</f>
        <v>0</v>
      </c>
      <c r="K18" s="150">
        <f>OUTPUT_C!K37</f>
        <v>0</v>
      </c>
      <c r="L18" s="150">
        <f>OUTPUT_C!L37</f>
        <v>0</v>
      </c>
      <c r="M18" s="150">
        <f>OUTPUT_C!M37</f>
        <v>0</v>
      </c>
      <c r="N18" s="150">
        <f>OUTPUT_C!N37</f>
        <v>0</v>
      </c>
      <c r="O18" s="148"/>
      <c r="P18" s="151"/>
    </row>
    <row r="19" spans="2:17" ht="17.399999999999999" x14ac:dyDescent="0.3">
      <c r="B19" s="322"/>
      <c r="C19" s="146">
        <v>0.8</v>
      </c>
      <c r="D19" s="150">
        <f>OUTPUT_C!D38</f>
        <v>0</v>
      </c>
      <c r="E19" s="150">
        <f>OUTPUT_C!E38</f>
        <v>0</v>
      </c>
      <c r="F19" s="150">
        <f>OUTPUT_C!F38</f>
        <v>0</v>
      </c>
      <c r="G19" s="150">
        <f>OUTPUT_C!G38</f>
        <v>0</v>
      </c>
      <c r="H19" s="150">
        <f>OUTPUT_C!H38</f>
        <v>0</v>
      </c>
      <c r="I19" s="150">
        <f>OUTPUT_C!I38</f>
        <v>0</v>
      </c>
      <c r="J19" s="150">
        <f>OUTPUT_C!J38</f>
        <v>0</v>
      </c>
      <c r="K19" s="150">
        <f>OUTPUT_C!K38</f>
        <v>0</v>
      </c>
      <c r="L19" s="150">
        <f>OUTPUT_C!L38</f>
        <v>0</v>
      </c>
      <c r="M19" s="150">
        <f>OUTPUT_C!M38</f>
        <v>0</v>
      </c>
      <c r="N19" s="150">
        <f>OUTPUT_C!N38</f>
        <v>0</v>
      </c>
      <c r="O19" s="148"/>
      <c r="P19" s="151"/>
    </row>
    <row r="20" spans="2:17" ht="17.399999999999999" x14ac:dyDescent="0.3">
      <c r="B20" s="322"/>
      <c r="C20" s="146">
        <v>0.7</v>
      </c>
      <c r="D20" s="150">
        <f>OUTPUT_C!D39</f>
        <v>0</v>
      </c>
      <c r="E20" s="150">
        <f>OUTPUT_C!E39</f>
        <v>0</v>
      </c>
      <c r="F20" s="150">
        <f>OUTPUT_C!F39</f>
        <v>0</v>
      </c>
      <c r="G20" s="150">
        <f>OUTPUT_C!G39</f>
        <v>0</v>
      </c>
      <c r="H20" s="150">
        <f>OUTPUT_C!H39</f>
        <v>0</v>
      </c>
      <c r="I20" s="150">
        <f>OUTPUT_C!I39</f>
        <v>0</v>
      </c>
      <c r="J20" s="150">
        <f>OUTPUT_C!J39</f>
        <v>0</v>
      </c>
      <c r="K20" s="150">
        <f>OUTPUT_C!K39</f>
        <v>0</v>
      </c>
      <c r="L20" s="150">
        <f>OUTPUT_C!L39</f>
        <v>0</v>
      </c>
      <c r="M20" s="150">
        <f>OUTPUT_C!M39</f>
        <v>0</v>
      </c>
      <c r="N20" s="150">
        <f>OUTPUT_C!N39</f>
        <v>0</v>
      </c>
      <c r="O20" s="148"/>
      <c r="P20" s="151"/>
    </row>
    <row r="22" spans="2:17" ht="14.25" customHeight="1" x14ac:dyDescent="0.3">
      <c r="D22" s="313" t="s">
        <v>121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74"/>
      <c r="P22" s="174"/>
      <c r="Q22" s="174"/>
    </row>
    <row r="23" spans="2:17" x14ac:dyDescent="0.3"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174"/>
      <c r="P23" s="174"/>
      <c r="Q23" s="174"/>
    </row>
    <row r="25" spans="2:17" x14ac:dyDescent="0.3">
      <c r="D25" s="164"/>
      <c r="E25" s="170" t="str">
        <f>OUTPUT_C!E45</f>
        <v>1. 0 percent (0%) of the Capacity Fee</v>
      </c>
    </row>
    <row r="26" spans="2:17" x14ac:dyDescent="0.3">
      <c r="E26" s="170" t="str">
        <f>OUTPUT_C!E46</f>
        <v>2. Additional 0 percent (0%) of Prompt Payment Discount (PPD)</v>
      </c>
    </row>
    <row r="27" spans="2:17" x14ac:dyDescent="0.3">
      <c r="E27" s="170" t="str">
        <f>OUTPUT_C!E47</f>
        <v>3.  Peso per kWh (Php/kWh) of the Collection Efficiency (CE)</v>
      </c>
    </row>
    <row r="29" spans="2:17" ht="14.25" customHeight="1" x14ac:dyDescent="0.3">
      <c r="D29" s="315" t="s">
        <v>104</v>
      </c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175"/>
      <c r="P29" s="175"/>
      <c r="Q29" s="175"/>
    </row>
    <row r="30" spans="2:17" x14ac:dyDescent="0.3"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175"/>
      <c r="P30" s="175"/>
      <c r="Q30" s="175"/>
    </row>
    <row r="31" spans="2:17" x14ac:dyDescent="0.3"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175"/>
      <c r="P31" s="175"/>
      <c r="Q31" s="175"/>
    </row>
    <row r="32" spans="2:17" x14ac:dyDescent="0.3">
      <c r="E32" s="311" t="s">
        <v>127</v>
      </c>
      <c r="F32" s="312"/>
      <c r="G32" s="312"/>
      <c r="H32" s="312"/>
      <c r="I32" s="312"/>
      <c r="J32" s="312"/>
      <c r="K32" s="312"/>
      <c r="L32" s="312"/>
      <c r="M32" s="312"/>
      <c r="N32" s="248"/>
    </row>
    <row r="33" spans="3:14" x14ac:dyDescent="0.3">
      <c r="E33" s="312" t="s">
        <v>99</v>
      </c>
      <c r="F33" s="312"/>
      <c r="G33" s="312"/>
      <c r="H33" s="312"/>
      <c r="I33" s="312"/>
      <c r="J33" s="312"/>
      <c r="K33" s="312"/>
      <c r="L33" s="312"/>
      <c r="M33" s="312"/>
      <c r="N33" s="248"/>
    </row>
    <row r="37" spans="3:14" x14ac:dyDescent="0.3">
      <c r="D37" s="181" t="s">
        <v>97</v>
      </c>
      <c r="E37" s="181"/>
      <c r="F37" s="181"/>
      <c r="G37" s="181"/>
      <c r="H37" s="181"/>
      <c r="I37" s="181"/>
      <c r="J37" s="181"/>
      <c r="K37" s="181"/>
      <c r="L37" s="181" t="s">
        <v>100</v>
      </c>
      <c r="M37" s="181"/>
      <c r="N37" s="181"/>
    </row>
    <row r="38" spans="3:14" x14ac:dyDescent="0.3"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3:14" x14ac:dyDescent="0.3"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</row>
    <row r="40" spans="3:14" s="148" customFormat="1" x14ac:dyDescent="0.3">
      <c r="C40" s="166"/>
      <c r="D40" s="181" t="s">
        <v>126</v>
      </c>
      <c r="E40" s="181"/>
      <c r="F40" s="181"/>
      <c r="G40" s="181"/>
      <c r="H40" s="181"/>
      <c r="I40" s="181"/>
      <c r="J40" s="181"/>
      <c r="K40" s="181"/>
      <c r="L40" s="181" t="s">
        <v>126</v>
      </c>
      <c r="M40" s="181"/>
      <c r="N40" s="185"/>
    </row>
    <row r="41" spans="3:14" x14ac:dyDescent="0.3">
      <c r="D41" s="181" t="s">
        <v>98</v>
      </c>
      <c r="E41" s="181"/>
      <c r="F41" s="181"/>
      <c r="G41" s="181"/>
      <c r="H41" s="181"/>
      <c r="I41" s="181"/>
      <c r="J41" s="181"/>
      <c r="K41" s="181"/>
      <c r="L41" s="181" t="s">
        <v>125</v>
      </c>
      <c r="M41" s="181"/>
      <c r="N41" s="181"/>
    </row>
  </sheetData>
  <sheetProtection algorithmName="SHA-512" hashValue="8cHdASZf8BX9IvLatExbGc97FWTu2Po46VKYfgAqoO0Z8Nw5PFwXKF3iZvuKjcuyXZa1FNe9EPBT0W/20sTfGw==" saltValue="2zy3gs+gJfeCrIG9jM0mnQ==" spinCount="100000" sheet="1" objects="1" scenarios="1"/>
  <mergeCells count="10">
    <mergeCell ref="B3:P3"/>
    <mergeCell ref="D22:N23"/>
    <mergeCell ref="D29:N30"/>
    <mergeCell ref="E32:M32"/>
    <mergeCell ref="E33:M33"/>
    <mergeCell ref="B8:P8"/>
    <mergeCell ref="D12:N12"/>
    <mergeCell ref="P12:Q12"/>
    <mergeCell ref="E14:N16"/>
    <mergeCell ref="B17:B20"/>
  </mergeCells>
  <printOptions horizontalCentered="1"/>
  <pageMargins left="0.2" right="0.2" top="0.5" bottom="0.5" header="0.3" footer="0.3"/>
  <pageSetup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INPUT</vt:lpstr>
      <vt:lpstr>table b_less3.2%ppd</vt:lpstr>
      <vt:lpstr>LCOE</vt:lpstr>
      <vt:lpstr>OUTPUT_B</vt:lpstr>
      <vt:lpstr>data</vt:lpstr>
      <vt:lpstr>OUTPUT_C</vt:lpstr>
      <vt:lpstr>Table_B</vt:lpstr>
      <vt:lpstr>Table_C</vt:lpstr>
      <vt:lpstr>OUTPUT_B!Print_Area</vt:lpstr>
      <vt:lpstr>Table_B!Print_Area</vt:lpstr>
      <vt:lpstr>Table_C!Print_Area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B. Lacson</dc:creator>
  <cp:lastModifiedBy>Royce</cp:lastModifiedBy>
  <cp:lastPrinted>2022-06-08T07:06:51Z</cp:lastPrinted>
  <dcterms:created xsi:type="dcterms:W3CDTF">2020-10-09T05:40:07Z</dcterms:created>
  <dcterms:modified xsi:type="dcterms:W3CDTF">2023-02-02T05:16:58Z</dcterms:modified>
</cp:coreProperties>
</file>